
<file path=[Content_Types].xml><?xml version="1.0" encoding="utf-8"?>
<Types xmlns="http://schemas.openxmlformats.org/package/2006/content-types">
  <Default Extension="bin" ContentType="application/vnd.openxmlformats-officedocument.oleObject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rinterSettings/printerSettings1.bin" ContentType="application/vnd.openxmlformats-officedocument.spreadsheetml.printerSettings"/>
  <Override PartName="/xl/drawings/drawing2.xml" ContentType="application/vnd.openxmlformats-officedocument.drawing+xml"/>
  <Override PartName="/xl/printerSettings/printerSettings2.bin" ContentType="application/vnd.openxmlformats-officedocument.spreadsheetml.printerSettings"/>
  <Override PartName="/xl/drawings/drawing3.xml" ContentType="application/vnd.openxmlformats-officedocument.drawing+xml"/>
  <Override PartName="/xl/printerSettings/printerSettings3.bin" ContentType="application/vnd.openxmlformats-officedocument.spreadsheetml.printerSettings"/>
  <Override PartName="/xl/drawings/drawing4.xml" ContentType="application/vnd.openxmlformats-officedocument.drawing+xml"/>
  <Override PartName="/xl/printerSettings/printerSettings4.bin" ContentType="application/vnd.openxmlformats-officedocument.spreadsheetml.printerSettings"/>
  <Override PartName="/xl/printerSettings/printerSettings5.bin" ContentType="application/vnd.openxmlformats-officedocument.spreadsheetml.printerSettings"/>
  <Override PartName="/xl/printerSettings/printerSettings6.bin" ContentType="application/vnd.openxmlformats-officedocument.spreadsheetml.printerSettings"/>
  <Override PartName="/xl/printerSettings/printerSettings7.bin" ContentType="application/vnd.openxmlformats-officedocument.spreadsheetml.printerSettings"/>
  <Override PartName="/xl/printerSettings/printerSettings8.bin" ContentType="application/vnd.openxmlformats-officedocument.spreadsheetml.printerSettings"/>
  <Override PartName="/xl/printerSettings/printerSettings9.bin" ContentType="application/vnd.openxmlformats-officedocument.spreadsheetml.printerSettings"/>
  <Override PartName="/xl/printerSettings/printerSettings10.bin" ContentType="application/vnd.openxmlformats-officedocument.spreadsheetml.printerSettings"/>
  <Override PartName="/xl/printerSettings/printerSettings11.bin" ContentType="application/vnd.openxmlformats-officedocument.spreadsheetml.printerSettings"/>
  <Override PartName="/xl/printerSettings/printerSettings12.bin" ContentType="application/vnd.openxmlformats-officedocument.spreadsheetml.printerSettings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aus.CMMJ\Desktop\"/>
    </mc:Choice>
  </mc:AlternateContent>
  <bookViews>
    <workbookView xWindow="0" yWindow="0" windowWidth="28800" windowHeight="12435" tabRatio="545" activeTab="3"/>
  </bookViews>
  <sheets>
    <sheet name="sika Dybovský" sheetId="72" r:id="rId1"/>
    <sheet name="Jelen" sheetId="68" r:id="rId2"/>
    <sheet name="Sika" sheetId="70" r:id="rId3"/>
    <sheet name="Srnec" sheetId="61" r:id="rId4"/>
    <sheet name="Daňek" sheetId="63" r:id="rId5"/>
    <sheet name="Muflon" sheetId="65" r:id="rId6"/>
    <sheet name="Prase" sheetId="64" r:id="rId7"/>
    <sheet name="liška" sheetId="23" r:id="rId8"/>
    <sheet name="psík" sheetId="22" r:id="rId9"/>
    <sheet name="jezevec" sheetId="20" r:id="rId10"/>
    <sheet name="mýval severní" sheetId="71" r:id="rId11"/>
    <sheet name="Kamzice" sheetId="67" r:id="rId12"/>
    <sheet name="Kamzík" sheetId="66" r:id="rId13"/>
  </sheets>
  <definedNames>
    <definedName name="_xlnm.Print_Area" localSheetId="1">Jelen!$A$5:$O$43</definedName>
    <definedName name="_xlnm.Print_Area" localSheetId="5">Muflon!$A$1:$M$33</definedName>
  </definedNames>
  <calcPr calcId="152511"/>
</workbook>
</file>

<file path=xl/calcChain.xml><?xml version="1.0" encoding="utf-8"?>
<calcChain xmlns="http://schemas.openxmlformats.org/spreadsheetml/2006/main">
  <c r="Q26" i="68" l="1"/>
  <c r="Q27" i="68"/>
  <c r="Q28" i="68"/>
  <c r="Q25" i="68"/>
  <c r="T18" i="63" l="1"/>
  <c r="N18" i="63" s="1"/>
  <c r="T17" i="63"/>
  <c r="N17" i="63" s="1"/>
  <c r="U7" i="66" l="1"/>
  <c r="Y7" i="66" s="1"/>
  <c r="Y8" i="66" s="1"/>
  <c r="X32" i="72" l="1"/>
  <c r="Y32" i="72" s="1"/>
  <c r="V32" i="72"/>
  <c r="L32" i="72" s="1"/>
  <c r="X30" i="72"/>
  <c r="Y30" i="72" s="1"/>
  <c r="V30" i="72"/>
  <c r="L30" i="72" s="1"/>
  <c r="X28" i="72"/>
  <c r="Y28" i="72" s="1"/>
  <c r="Z28" i="72" s="1"/>
  <c r="V28" i="72"/>
  <c r="L28" i="72" s="1"/>
  <c r="X26" i="72"/>
  <c r="Y26" i="72" s="1"/>
  <c r="V26" i="72"/>
  <c r="L26" i="72" s="1"/>
  <c r="X24" i="72"/>
  <c r="Y24" i="72" s="1"/>
  <c r="V24" i="72"/>
  <c r="L24" i="72" s="1"/>
  <c r="X22" i="72"/>
  <c r="Y22" i="72" s="1"/>
  <c r="V22" i="72"/>
  <c r="L22" i="72" s="1"/>
  <c r="X20" i="72"/>
  <c r="Y20" i="72" s="1"/>
  <c r="V20" i="72"/>
  <c r="L20" i="72" s="1"/>
  <c r="X18" i="72"/>
  <c r="Y18" i="72" s="1"/>
  <c r="N18" i="72" s="1"/>
  <c r="V18" i="72"/>
  <c r="L18" i="72" s="1"/>
  <c r="N17" i="72"/>
  <c r="N16" i="72"/>
  <c r="N15" i="72"/>
  <c r="N14" i="72"/>
  <c r="V11" i="72"/>
  <c r="Y11" i="72" s="1"/>
  <c r="Y12" i="72" s="1"/>
  <c r="X9" i="72"/>
  <c r="Y9" i="72" s="1"/>
  <c r="N9" i="72" s="1"/>
  <c r="V9" i="72"/>
  <c r="L9" i="72" s="1"/>
  <c r="N26" i="72" l="1"/>
  <c r="Z26" i="72"/>
  <c r="Z11" i="72"/>
  <c r="Z12" i="72" s="1"/>
  <c r="L11" i="72" s="1"/>
  <c r="L34" i="72" s="1"/>
  <c r="Z30" i="72"/>
  <c r="N30" i="72"/>
  <c r="N20" i="72"/>
  <c r="Z20" i="72"/>
  <c r="N32" i="72"/>
  <c r="Z32" i="72"/>
  <c r="N22" i="72"/>
  <c r="Z22" i="72"/>
  <c r="N24" i="72"/>
  <c r="Z24" i="72"/>
  <c r="N28" i="72"/>
  <c r="Z29" i="68"/>
  <c r="N34" i="72" l="1"/>
  <c r="N38" i="72" s="1"/>
  <c r="V23" i="68"/>
  <c r="V21" i="68"/>
  <c r="U21" i="68" s="1"/>
  <c r="X21" i="68" s="1"/>
  <c r="O21" i="68" s="1"/>
  <c r="AB5" i="72" l="1"/>
  <c r="AB25" i="72"/>
  <c r="K38" i="72" s="1"/>
  <c r="AC9" i="72"/>
  <c r="AB9" i="72"/>
  <c r="AC5" i="72"/>
  <c r="AA9" i="72"/>
  <c r="U23" i="68"/>
  <c r="P16" i="71"/>
  <c r="O16" i="71" s="1"/>
  <c r="P14" i="71"/>
  <c r="O14" i="71" s="1"/>
  <c r="R14" i="71" s="1"/>
  <c r="P12" i="71"/>
  <c r="O12" i="71"/>
  <c r="R12" i="71" s="1"/>
  <c r="P10" i="71"/>
  <c r="O10" i="71" s="1"/>
  <c r="R10" i="71" s="1"/>
  <c r="P8" i="71"/>
  <c r="O8" i="71"/>
  <c r="R8" i="71" s="1"/>
  <c r="M7" i="71"/>
  <c r="M9" i="71" s="1"/>
  <c r="M5" i="71"/>
  <c r="AB10" i="72" l="1"/>
  <c r="X23" i="68"/>
  <c r="V25" i="68" s="1"/>
  <c r="O23" i="68" s="1"/>
  <c r="M23" i="68"/>
  <c r="M38" i="71"/>
  <c r="A2" i="71"/>
  <c r="R16" i="71"/>
  <c r="AB11" i="72" l="1"/>
  <c r="B5" i="72" s="1"/>
  <c r="AE19" i="72"/>
  <c r="AE20" i="72"/>
  <c r="AE18" i="72"/>
  <c r="Q27" i="71"/>
  <c r="R27" i="71"/>
  <c r="P27" i="71"/>
  <c r="Q28" i="71" s="1"/>
  <c r="M12" i="67"/>
  <c r="M27" i="65"/>
  <c r="X32" i="70"/>
  <c r="Y32" i="70" s="1"/>
  <c r="V32" i="70"/>
  <c r="L32" i="70"/>
  <c r="Y30" i="70"/>
  <c r="Z30" i="70" s="1"/>
  <c r="X30" i="70"/>
  <c r="V30" i="70"/>
  <c r="L30" i="70"/>
  <c r="X28" i="70"/>
  <c r="Y28" i="70" s="1"/>
  <c r="V28" i="70"/>
  <c r="L28" i="70" s="1"/>
  <c r="X26" i="70"/>
  <c r="Y26" i="70" s="1"/>
  <c r="V26" i="70"/>
  <c r="L26" i="70" s="1"/>
  <c r="X24" i="70"/>
  <c r="Y24" i="70" s="1"/>
  <c r="V24" i="70"/>
  <c r="L24" i="70"/>
  <c r="X22" i="70"/>
  <c r="Y22" i="70" s="1"/>
  <c r="V22" i="70"/>
  <c r="L22" i="70"/>
  <c r="X20" i="70"/>
  <c r="Y20" i="70" s="1"/>
  <c r="V20" i="70"/>
  <c r="L20" i="70" s="1"/>
  <c r="X18" i="70"/>
  <c r="Y18" i="70" s="1"/>
  <c r="N18" i="70" s="1"/>
  <c r="V18" i="70"/>
  <c r="L18" i="70" s="1"/>
  <c r="N17" i="70"/>
  <c r="N16" i="70"/>
  <c r="N15" i="70"/>
  <c r="N14" i="70"/>
  <c r="V11" i="70"/>
  <c r="Z11" i="70" s="1"/>
  <c r="Z12" i="70" s="1"/>
  <c r="X9" i="70"/>
  <c r="Y9" i="70" s="1"/>
  <c r="N9" i="70" s="1"/>
  <c r="V9" i="70"/>
  <c r="L9" i="70" s="1"/>
  <c r="AA29" i="68"/>
  <c r="AE21" i="72" l="1"/>
  <c r="H36" i="72" s="1"/>
  <c r="W23" i="68"/>
  <c r="S36" i="71"/>
  <c r="S38" i="71"/>
  <c r="S37" i="71"/>
  <c r="Q29" i="71"/>
  <c r="N24" i="70"/>
  <c r="Z24" i="70"/>
  <c r="N20" i="70"/>
  <c r="Z20" i="70"/>
  <c r="Z26" i="70"/>
  <c r="N26" i="70"/>
  <c r="Z32" i="70"/>
  <c r="N32" i="70"/>
  <c r="N22" i="70"/>
  <c r="Z22" i="70"/>
  <c r="N28" i="70"/>
  <c r="Z28" i="70"/>
  <c r="Y11" i="70"/>
  <c r="Y12" i="70" s="1"/>
  <c r="L11" i="70" s="1"/>
  <c r="L34" i="70" s="1"/>
  <c r="N30" i="70"/>
  <c r="N34" i="70" l="1"/>
  <c r="N38" i="70" s="1"/>
  <c r="B6" i="70" s="1"/>
  <c r="S39" i="71"/>
  <c r="H11" i="71" s="1"/>
  <c r="AB25" i="70" l="1"/>
  <c r="K38" i="70" s="1"/>
  <c r="AB9" i="70"/>
  <c r="AC5" i="70"/>
  <c r="AA9" i="70"/>
  <c r="AB10" i="70" s="1"/>
  <c r="AE18" i="70" s="1"/>
  <c r="AC9" i="70"/>
  <c r="AB5" i="70"/>
  <c r="AB11" i="70" l="1"/>
  <c r="B5" i="70" s="1"/>
  <c r="AE20" i="70"/>
  <c r="AE19" i="70"/>
  <c r="AE21" i="70" l="1"/>
  <c r="H36" i="70" s="1"/>
  <c r="O33" i="68" l="1"/>
  <c r="AB31" i="68"/>
  <c r="AA31" i="68"/>
  <c r="AD31" i="68" s="1"/>
  <c r="Z31" i="68"/>
  <c r="Z32" i="68" s="1"/>
  <c r="AB29" i="68"/>
  <c r="AD29" i="68"/>
  <c r="O28" i="68"/>
  <c r="O27" i="68"/>
  <c r="O26" i="68"/>
  <c r="V19" i="68"/>
  <c r="U19" i="68" s="1"/>
  <c r="AO18" i="68"/>
  <c r="AN18" i="68"/>
  <c r="AM18" i="68"/>
  <c r="AJ18" i="68"/>
  <c r="AI18" i="68"/>
  <c r="AH18" i="68"/>
  <c r="AO17" i="68"/>
  <c r="AN17" i="68"/>
  <c r="AM17" i="68"/>
  <c r="AJ17" i="68"/>
  <c r="AI17" i="68"/>
  <c r="AH17" i="68"/>
  <c r="V17" i="68"/>
  <c r="U17" i="68"/>
  <c r="M17" i="68" s="1"/>
  <c r="AO16" i="68"/>
  <c r="AN16" i="68"/>
  <c r="AM16" i="68"/>
  <c r="AJ16" i="68"/>
  <c r="AI16" i="68"/>
  <c r="AH16" i="68"/>
  <c r="AO15" i="68"/>
  <c r="AN15" i="68"/>
  <c r="AM15" i="68"/>
  <c r="AJ15" i="68"/>
  <c r="AI15" i="68"/>
  <c r="AH15" i="68"/>
  <c r="V15" i="68"/>
  <c r="U15" i="68" s="1"/>
  <c r="X15" i="68" s="1"/>
  <c r="O15" i="68" s="1"/>
  <c r="AO14" i="68"/>
  <c r="AN14" i="68"/>
  <c r="AM14" i="68"/>
  <c r="AJ14" i="68"/>
  <c r="AI14" i="68"/>
  <c r="AH14" i="68"/>
  <c r="AO13" i="68"/>
  <c r="AN13" i="68"/>
  <c r="AM13" i="68"/>
  <c r="AJ13" i="68"/>
  <c r="AI13" i="68"/>
  <c r="AH13" i="68"/>
  <c r="V13" i="68"/>
  <c r="U13" i="68" s="1"/>
  <c r="AO12" i="68"/>
  <c r="AN12" i="68"/>
  <c r="AM12" i="68"/>
  <c r="AJ12" i="68"/>
  <c r="AI12" i="68"/>
  <c r="AH12" i="68"/>
  <c r="AO11" i="68"/>
  <c r="AN11" i="68"/>
  <c r="AM11" i="68"/>
  <c r="AJ11" i="68"/>
  <c r="AI11" i="68"/>
  <c r="AH11" i="68"/>
  <c r="V11" i="68"/>
  <c r="U11" i="68" s="1"/>
  <c r="X11" i="68" s="1"/>
  <c r="O11" i="68" s="1"/>
  <c r="AO10" i="68"/>
  <c r="AN10" i="68"/>
  <c r="AM10" i="68"/>
  <c r="AJ10" i="68"/>
  <c r="AI10" i="68"/>
  <c r="AH10" i="68"/>
  <c r="AO9" i="68"/>
  <c r="AN9" i="68"/>
  <c r="AM9" i="68"/>
  <c r="AJ9" i="68"/>
  <c r="AI9" i="68"/>
  <c r="AH9" i="68"/>
  <c r="V9" i="68"/>
  <c r="U9" i="68" s="1"/>
  <c r="AO8" i="68"/>
  <c r="AN8" i="68"/>
  <c r="AM8" i="68"/>
  <c r="AJ8" i="68"/>
  <c r="AI8" i="68"/>
  <c r="AH8" i="68"/>
  <c r="AI18" i="65"/>
  <c r="AI19" i="65"/>
  <c r="AH18" i="65"/>
  <c r="AH19" i="65" s="1"/>
  <c r="P8" i="20"/>
  <c r="O8" i="20" s="1"/>
  <c r="R8" i="20" s="1"/>
  <c r="P10" i="20"/>
  <c r="O10" i="20"/>
  <c r="R10" i="20" s="1"/>
  <c r="P12" i="20"/>
  <c r="O12" i="20" s="1"/>
  <c r="R12" i="20" s="1"/>
  <c r="P14" i="20"/>
  <c r="O14" i="20"/>
  <c r="R14" i="20"/>
  <c r="O16" i="20"/>
  <c r="P16" i="20"/>
  <c r="R16" i="20"/>
  <c r="O16" i="67"/>
  <c r="Z15" i="67"/>
  <c r="X16" i="67" s="1"/>
  <c r="I10" i="67" s="1"/>
  <c r="Y15" i="67"/>
  <c r="X15" i="67"/>
  <c r="W15" i="67"/>
  <c r="O10" i="67"/>
  <c r="R8" i="67"/>
  <c r="O8" i="67"/>
  <c r="M8" i="67"/>
  <c r="U7" i="67"/>
  <c r="X7" i="67" s="1"/>
  <c r="X8" i="67" s="1"/>
  <c r="R7" i="67"/>
  <c r="M7" i="67"/>
  <c r="O14" i="67" s="1"/>
  <c r="P14" i="67" s="1"/>
  <c r="P7" i="67"/>
  <c r="O7" i="67"/>
  <c r="W5" i="67"/>
  <c r="X5" i="67"/>
  <c r="U5" i="67"/>
  <c r="P5" i="67"/>
  <c r="O5" i="67" s="1"/>
  <c r="O16" i="66"/>
  <c r="Z15" i="66"/>
  <c r="Y15" i="66"/>
  <c r="X15" i="66"/>
  <c r="W15" i="66"/>
  <c r="O10" i="66"/>
  <c r="R8" i="66"/>
  <c r="M8" i="66" s="1"/>
  <c r="O8" i="66"/>
  <c r="X7" i="66"/>
  <c r="X8" i="66" s="1"/>
  <c r="S10" i="66" s="1"/>
  <c r="R9" i="66" s="1"/>
  <c r="M9" i="66" s="1"/>
  <c r="R7" i="66"/>
  <c r="M7" i="66" s="1"/>
  <c r="O14" i="66" s="1"/>
  <c r="P14" i="66" s="1"/>
  <c r="P7" i="66"/>
  <c r="O7" i="66" s="1"/>
  <c r="W5" i="66"/>
  <c r="X5" i="66" s="1"/>
  <c r="U5" i="66"/>
  <c r="P5" i="66"/>
  <c r="O5" i="66" s="1"/>
  <c r="O28" i="65"/>
  <c r="P28" i="65" s="1"/>
  <c r="X25" i="65"/>
  <c r="Z25" i="65" s="1"/>
  <c r="M24" i="65"/>
  <c r="M23" i="65"/>
  <c r="P16" i="65"/>
  <c r="O16" i="65" s="1"/>
  <c r="P14" i="65"/>
  <c r="O14" i="65" s="1"/>
  <c r="P12" i="65"/>
  <c r="O12" i="65" s="1"/>
  <c r="P10" i="65"/>
  <c r="O10" i="65" s="1"/>
  <c r="P8" i="65"/>
  <c r="O8" i="65" s="1"/>
  <c r="M13" i="64"/>
  <c r="K11" i="64"/>
  <c r="M11" i="64" s="1"/>
  <c r="P9" i="64"/>
  <c r="O9" i="64"/>
  <c r="K9" i="64" s="1"/>
  <c r="M9" i="64" s="1"/>
  <c r="R9" i="64"/>
  <c r="P7" i="64"/>
  <c r="O7" i="64"/>
  <c r="K7" i="64" s="1"/>
  <c r="M7" i="64" s="1"/>
  <c r="R7" i="64"/>
  <c r="P5" i="64"/>
  <c r="O5" i="64" s="1"/>
  <c r="M28" i="63"/>
  <c r="M27" i="63"/>
  <c r="M26" i="63"/>
  <c r="M23" i="63"/>
  <c r="M22" i="63"/>
  <c r="M21" i="63"/>
  <c r="P19" i="63"/>
  <c r="O19" i="63" s="1"/>
  <c r="K19" i="63" s="1"/>
  <c r="P17" i="63"/>
  <c r="O17" i="63" s="1"/>
  <c r="K17" i="63" s="1"/>
  <c r="P15" i="63"/>
  <c r="O15" i="63" s="1"/>
  <c r="K15" i="63" s="1"/>
  <c r="P13" i="63"/>
  <c r="O13" i="63" s="1"/>
  <c r="K13" i="63" s="1"/>
  <c r="P11" i="63"/>
  <c r="O11" i="63" s="1"/>
  <c r="K11" i="63" s="1"/>
  <c r="P9" i="63"/>
  <c r="O9" i="63" s="1"/>
  <c r="Y7" i="63"/>
  <c r="Y8" i="63" s="1"/>
  <c r="P7" i="63"/>
  <c r="O7" i="63"/>
  <c r="K7" i="63" s="1"/>
  <c r="P5" i="63"/>
  <c r="O5" i="63" s="1"/>
  <c r="N30" i="61"/>
  <c r="N27" i="61"/>
  <c r="W25" i="61"/>
  <c r="V25" i="61"/>
  <c r="U25" i="61"/>
  <c r="N25" i="61"/>
  <c r="N23" i="61"/>
  <c r="N21" i="61"/>
  <c r="N19" i="61"/>
  <c r="Q15" i="61"/>
  <c r="P15" i="61" s="1"/>
  <c r="S15" i="61" s="1"/>
  <c r="N15" i="61" s="1"/>
  <c r="Q13" i="61"/>
  <c r="P13" i="61" s="1"/>
  <c r="L13" i="61" s="1"/>
  <c r="Q11" i="61"/>
  <c r="P11" i="61"/>
  <c r="Q9" i="61"/>
  <c r="P9" i="61" s="1"/>
  <c r="S9" i="61" s="1"/>
  <c r="N9" i="61" s="1"/>
  <c r="M5" i="23"/>
  <c r="M7" i="23"/>
  <c r="M9" i="23" s="1"/>
  <c r="P8" i="23"/>
  <c r="O8" i="23"/>
  <c r="R8" i="23"/>
  <c r="P10" i="23"/>
  <c r="O10" i="23" s="1"/>
  <c r="R10" i="23" s="1"/>
  <c r="P12" i="23"/>
  <c r="O12" i="23"/>
  <c r="R12" i="23" s="1"/>
  <c r="P14" i="23"/>
  <c r="O14" i="23"/>
  <c r="R14" i="23"/>
  <c r="P16" i="23"/>
  <c r="O16" i="23" s="1"/>
  <c r="R16" i="23"/>
  <c r="M5" i="22"/>
  <c r="M9" i="22" s="1"/>
  <c r="M7" i="22"/>
  <c r="P8" i="22"/>
  <c r="O8" i="22"/>
  <c r="R8" i="22" s="1"/>
  <c r="P10" i="22"/>
  <c r="O10" i="22"/>
  <c r="R10" i="22"/>
  <c r="P12" i="22"/>
  <c r="O12" i="22"/>
  <c r="R12" i="22"/>
  <c r="P14" i="22"/>
  <c r="O14" i="22" s="1"/>
  <c r="R14" i="22" s="1"/>
  <c r="P16" i="22"/>
  <c r="O16" i="22" s="1"/>
  <c r="R16" i="22"/>
  <c r="M5" i="20"/>
  <c r="M7" i="20"/>
  <c r="M9" i="20"/>
  <c r="M38" i="20" s="1"/>
  <c r="M12" i="66"/>
  <c r="M21" i="68"/>
  <c r="AB32" i="68"/>
  <c r="AE30" i="68" s="1"/>
  <c r="P9" i="66"/>
  <c r="O9" i="66" s="1"/>
  <c r="R10" i="66"/>
  <c r="M10" i="66"/>
  <c r="R16" i="65"/>
  <c r="M21" i="65" s="1"/>
  <c r="AP12" i="68" l="1"/>
  <c r="AQ12" i="68" s="1"/>
  <c r="X13" i="68"/>
  <c r="O13" i="68" s="1"/>
  <c r="M13" i="68"/>
  <c r="AK10" i="68"/>
  <c r="AL10" i="68" s="1"/>
  <c r="AK14" i="68"/>
  <c r="AL14" i="68" s="1"/>
  <c r="X17" i="68"/>
  <c r="O17" i="68" s="1"/>
  <c r="AP18" i="68"/>
  <c r="AQ18" i="68" s="1"/>
  <c r="K9" i="63"/>
  <c r="R9" i="63"/>
  <c r="M9" i="63" s="1"/>
  <c r="R7" i="63"/>
  <c r="M7" i="63" s="1"/>
  <c r="X16" i="66"/>
  <c r="AD30" i="68"/>
  <c r="AD32" i="68"/>
  <c r="AC32" i="68" s="1"/>
  <c r="X19" i="68"/>
  <c r="O19" i="68" s="1"/>
  <c r="M19" i="68"/>
  <c r="AF30" i="68"/>
  <c r="R15" i="63"/>
  <c r="M15" i="63" s="1"/>
  <c r="K9" i="65"/>
  <c r="R10" i="65"/>
  <c r="M9" i="65" s="1"/>
  <c r="A2" i="22"/>
  <c r="M38" i="22"/>
  <c r="M38" i="23"/>
  <c r="A2" i="23"/>
  <c r="K5" i="64"/>
  <c r="R5" i="64"/>
  <c r="M5" i="64" s="1"/>
  <c r="S10" i="67"/>
  <c r="R9" i="67" s="1"/>
  <c r="M9" i="67" s="1"/>
  <c r="P9" i="67"/>
  <c r="O9" i="67" s="1"/>
  <c r="R10" i="67"/>
  <c r="M10" i="67" s="1"/>
  <c r="A2" i="20"/>
  <c r="R17" i="63"/>
  <c r="M17" i="63" s="1"/>
  <c r="AP9" i="68"/>
  <c r="AQ9" i="68" s="1"/>
  <c r="AK12" i="68"/>
  <c r="AL12" i="68" s="1"/>
  <c r="AK13" i="68"/>
  <c r="AL13" i="68" s="1"/>
  <c r="M15" i="68"/>
  <c r="Y7" i="67"/>
  <c r="Y8" i="67" s="1"/>
  <c r="M11" i="68"/>
  <c r="AP13" i="68"/>
  <c r="AQ13" i="68" s="1"/>
  <c r="AP15" i="68"/>
  <c r="AQ15" i="68" s="1"/>
  <c r="AP8" i="68"/>
  <c r="AQ8" i="68" s="1"/>
  <c r="AP17" i="68"/>
  <c r="AQ17" i="68" s="1"/>
  <c r="AK18" i="68"/>
  <c r="AL18" i="68" s="1"/>
  <c r="AP10" i="68"/>
  <c r="AQ10" i="68" s="1"/>
  <c r="AP16" i="68"/>
  <c r="AQ16" i="68" s="1"/>
  <c r="AP14" i="68"/>
  <c r="AQ14" i="68" s="1"/>
  <c r="AK17" i="68"/>
  <c r="AL17" i="68" s="1"/>
  <c r="AK15" i="68"/>
  <c r="AL15" i="68" s="1"/>
  <c r="AK16" i="68"/>
  <c r="AL16" i="68" s="1"/>
  <c r="AP11" i="68"/>
  <c r="AQ11" i="68" s="1"/>
  <c r="AK11" i="68"/>
  <c r="AL11" i="68" s="1"/>
  <c r="Y25" i="65"/>
  <c r="Z26" i="65" s="1"/>
  <c r="AD25" i="65"/>
  <c r="AA25" i="65"/>
  <c r="AB25" i="65"/>
  <c r="AC25" i="65"/>
  <c r="R14" i="65"/>
  <c r="M17" i="65" s="1"/>
  <c r="K17" i="65"/>
  <c r="R5" i="66"/>
  <c r="M5" i="66" s="1"/>
  <c r="M11" i="66" s="1"/>
  <c r="M32" i="66" s="1"/>
  <c r="A2" i="66" s="1"/>
  <c r="K5" i="66"/>
  <c r="R5" i="67"/>
  <c r="M5" i="67" s="1"/>
  <c r="K5" i="67"/>
  <c r="M12" i="64"/>
  <c r="M33" i="64" s="1"/>
  <c r="A2" i="64" s="1"/>
  <c r="R33" i="64" s="1"/>
  <c r="G27" i="64" s="1"/>
  <c r="K13" i="65"/>
  <c r="R12" i="65"/>
  <c r="M13" i="65" s="1"/>
  <c r="R8" i="65"/>
  <c r="M5" i="65" s="1"/>
  <c r="K5" i="65"/>
  <c r="P29" i="65"/>
  <c r="M29" i="65" s="1"/>
  <c r="O29" i="65"/>
  <c r="R13" i="63"/>
  <c r="M13" i="63" s="1"/>
  <c r="R11" i="63"/>
  <c r="M11" i="63" s="1"/>
  <c r="K5" i="63"/>
  <c r="R5" i="63"/>
  <c r="M5" i="63" s="1"/>
  <c r="Q19" i="63"/>
  <c r="R19" i="63" s="1"/>
  <c r="M19" i="63" s="1"/>
  <c r="L9" i="61"/>
  <c r="AB18" i="61" s="1"/>
  <c r="AA18" i="61" s="1"/>
  <c r="P18" i="61" s="1"/>
  <c r="L17" i="61" s="1"/>
  <c r="R13" i="61"/>
  <c r="S13" i="61" s="1"/>
  <c r="N13" i="61" s="1"/>
  <c r="M9" i="68"/>
  <c r="X9" i="68"/>
  <c r="O9" i="68" s="1"/>
  <c r="AK9" i="68"/>
  <c r="AL9" i="68" s="1"/>
  <c r="AK8" i="68"/>
  <c r="AL8" i="68" s="1"/>
  <c r="AG30" i="68" l="1"/>
  <c r="K29" i="68" s="1"/>
  <c r="O29" i="68" s="1"/>
  <c r="U15" i="66"/>
  <c r="T15" i="66"/>
  <c r="S15" i="66"/>
  <c r="R27" i="20"/>
  <c r="P27" i="20"/>
  <c r="Q27" i="20"/>
  <c r="P25" i="63"/>
  <c r="O25" i="63" s="1"/>
  <c r="K25" i="63" s="1"/>
  <c r="T21" i="63"/>
  <c r="P27" i="22"/>
  <c r="Q27" i="22"/>
  <c r="R27" i="22"/>
  <c r="Y25" i="68"/>
  <c r="Y26" i="68" s="1"/>
  <c r="M25" i="68" s="1"/>
  <c r="M11" i="67"/>
  <c r="M32" i="67" s="1"/>
  <c r="A2" i="67" s="1"/>
  <c r="P27" i="23"/>
  <c r="Q28" i="23" s="1"/>
  <c r="Q27" i="23"/>
  <c r="R27" i="23"/>
  <c r="AQ19" i="68" a="1"/>
  <c r="AQ19" i="68" s="1"/>
  <c r="AL19" i="68" a="1"/>
  <c r="AL21" i="68" s="1"/>
  <c r="AE25" i="65"/>
  <c r="I25" i="65" s="1"/>
  <c r="M25" i="65" s="1"/>
  <c r="M26" i="65" s="1"/>
  <c r="M31" i="65" s="1"/>
  <c r="A2" i="65" s="1"/>
  <c r="S29" i="66"/>
  <c r="G20" i="66" s="1"/>
  <c r="Q23" i="64"/>
  <c r="R23" i="64"/>
  <c r="P23" i="64"/>
  <c r="Q24" i="64" s="1"/>
  <c r="M24" i="63"/>
  <c r="R27" i="63"/>
  <c r="AC18" i="61"/>
  <c r="AH18" i="61"/>
  <c r="AE18" i="61"/>
  <c r="AG18" i="61"/>
  <c r="AD18" i="61"/>
  <c r="AF18" i="61"/>
  <c r="Z25" i="68" l="1"/>
  <c r="AA25" i="68"/>
  <c r="AB25" i="68"/>
  <c r="Q29" i="23"/>
  <c r="S37" i="23"/>
  <c r="S36" i="23"/>
  <c r="S38" i="23"/>
  <c r="S39" i="23" s="1"/>
  <c r="H11" i="23" s="1"/>
  <c r="AQ22" i="68"/>
  <c r="U29" i="67"/>
  <c r="G20" i="67" s="1"/>
  <c r="T15" i="67"/>
  <c r="S15" i="67"/>
  <c r="U15" i="67"/>
  <c r="Q28" i="22"/>
  <c r="Q28" i="20"/>
  <c r="AQ20" i="68"/>
  <c r="AQ21" i="68"/>
  <c r="AS21" i="68" s="1"/>
  <c r="AL19" i="68"/>
  <c r="AS19" i="68" s="1"/>
  <c r="AL20" i="68"/>
  <c r="AL22" i="68"/>
  <c r="P31" i="65"/>
  <c r="J31" i="65" s="1"/>
  <c r="U19" i="65"/>
  <c r="V19" i="65"/>
  <c r="T19" i="65"/>
  <c r="U20" i="65" s="1"/>
  <c r="U21" i="65" s="1"/>
  <c r="A1" i="65" s="1"/>
  <c r="T16" i="66"/>
  <c r="V25" i="66" s="1"/>
  <c r="Q25" i="64"/>
  <c r="A1" i="64" s="1"/>
  <c r="S34" i="64"/>
  <c r="S33" i="64"/>
  <c r="S32" i="64"/>
  <c r="V21" i="63"/>
  <c r="U21" i="63"/>
  <c r="Y21" i="63"/>
  <c r="Z21" i="63"/>
  <c r="W21" i="63"/>
  <c r="X21" i="63"/>
  <c r="AD19" i="61"/>
  <c r="J17" i="61" s="1"/>
  <c r="N17" i="61" s="1"/>
  <c r="N28" i="61" s="1"/>
  <c r="N37" i="61" s="1"/>
  <c r="B6" i="61" s="1"/>
  <c r="U32" i="61" s="1"/>
  <c r="K33" i="61" s="1"/>
  <c r="CJ11" i="68" l="1"/>
  <c r="R27" i="68" s="1"/>
  <c r="CJ9" i="68"/>
  <c r="R25" i="68" s="1"/>
  <c r="T16" i="67"/>
  <c r="AS20" i="68"/>
  <c r="AS22" i="68" s="1"/>
  <c r="S38" i="20"/>
  <c r="S36" i="20"/>
  <c r="Q29" i="20"/>
  <c r="S37" i="20"/>
  <c r="V26" i="66"/>
  <c r="Q29" i="22"/>
  <c r="S37" i="22"/>
  <c r="S38" i="22"/>
  <c r="S36" i="22"/>
  <c r="AA26" i="68"/>
  <c r="W28" i="65"/>
  <c r="W29" i="65"/>
  <c r="W30" i="65"/>
  <c r="T17" i="66"/>
  <c r="A1" i="66" s="1"/>
  <c r="V24" i="66"/>
  <c r="S35" i="64"/>
  <c r="G23" i="64" s="1"/>
  <c r="V22" i="63"/>
  <c r="U22" i="63" s="1"/>
  <c r="T22" i="63" s="1"/>
  <c r="I25" i="63" s="1"/>
  <c r="Q25" i="63" s="1"/>
  <c r="M25" i="63" s="1"/>
  <c r="U9" i="61"/>
  <c r="V9" i="61"/>
  <c r="W9" i="61"/>
  <c r="CJ10" i="68" l="1"/>
  <c r="V27" i="66"/>
  <c r="G17" i="66" s="1"/>
  <c r="AD26" i="68"/>
  <c r="K25" i="68" s="1"/>
  <c r="O25" i="68" s="1"/>
  <c r="W31" i="65"/>
  <c r="H28" i="65" s="1"/>
  <c r="S39" i="20"/>
  <c r="H11" i="20" s="1"/>
  <c r="S39" i="22"/>
  <c r="H11" i="22" s="1"/>
  <c r="V24" i="67"/>
  <c r="T17" i="67"/>
  <c r="A1" i="67" s="1"/>
  <c r="V25" i="67"/>
  <c r="V26" i="67"/>
  <c r="M29" i="63"/>
  <c r="M36" i="63" s="1"/>
  <c r="A2" i="63" s="1"/>
  <c r="W5" i="61"/>
  <c r="V5" i="61"/>
  <c r="BM11" i="68" l="1"/>
  <c r="R26" i="68"/>
  <c r="BM182" i="68"/>
  <c r="BM178" i="68"/>
  <c r="BM166" i="68"/>
  <c r="BM190" i="68"/>
  <c r="BM174" i="68"/>
  <c r="BM158" i="68"/>
  <c r="BM142" i="68"/>
  <c r="BM126" i="68"/>
  <c r="BM110" i="68"/>
  <c r="BM94" i="68"/>
  <c r="BM78" i="68"/>
  <c r="BM62" i="68"/>
  <c r="BM46" i="68"/>
  <c r="BM30" i="68"/>
  <c r="BM14" i="68"/>
  <c r="BM185" i="68"/>
  <c r="BM169" i="68"/>
  <c r="BM153" i="68"/>
  <c r="BM137" i="68"/>
  <c r="BM121" i="68"/>
  <c r="BM105" i="68"/>
  <c r="BM89" i="68"/>
  <c r="BM73" i="68"/>
  <c r="BM57" i="68"/>
  <c r="BM41" i="68"/>
  <c r="BM25" i="68"/>
  <c r="BM192" i="68"/>
  <c r="BM176" i="68"/>
  <c r="BM160" i="68"/>
  <c r="BM144" i="68"/>
  <c r="BM128" i="68"/>
  <c r="BM112" i="68"/>
  <c r="BM96" i="68"/>
  <c r="BM80" i="68"/>
  <c r="BM64" i="68"/>
  <c r="BM48" i="68"/>
  <c r="BM32" i="68"/>
  <c r="BM16" i="68"/>
  <c r="BM183" i="68"/>
  <c r="BM167" i="68"/>
  <c r="BM151" i="68"/>
  <c r="BM135" i="68"/>
  <c r="BM119" i="68"/>
  <c r="BM103" i="68"/>
  <c r="BM87" i="68"/>
  <c r="BM71" i="68"/>
  <c r="BM55" i="68"/>
  <c r="BM39" i="68"/>
  <c r="BM23" i="68"/>
  <c r="BM186" i="68"/>
  <c r="BM170" i="68"/>
  <c r="BM154" i="68"/>
  <c r="BM138" i="68"/>
  <c r="BM122" i="68"/>
  <c r="BM106" i="68"/>
  <c r="BM90" i="68"/>
  <c r="BM74" i="68"/>
  <c r="BM58" i="68"/>
  <c r="BM42" i="68"/>
  <c r="BM26" i="68"/>
  <c r="CJ12" i="68"/>
  <c r="BM181" i="68"/>
  <c r="BM165" i="68"/>
  <c r="BM149" i="68"/>
  <c r="BM133" i="68"/>
  <c r="BM117" i="68"/>
  <c r="BM101" i="68"/>
  <c r="BM85" i="68"/>
  <c r="BM69" i="68"/>
  <c r="BM53" i="68"/>
  <c r="BM37" i="68"/>
  <c r="BM21" i="68"/>
  <c r="BM188" i="68"/>
  <c r="BM172" i="68"/>
  <c r="BM156" i="68"/>
  <c r="BM140" i="68"/>
  <c r="BM124" i="68"/>
  <c r="BM108" i="68"/>
  <c r="BM92" i="68"/>
  <c r="BM76" i="68"/>
  <c r="BM60" i="68"/>
  <c r="BM44" i="68"/>
  <c r="BM28" i="68"/>
  <c r="BM12" i="68"/>
  <c r="BM179" i="68"/>
  <c r="BM163" i="68"/>
  <c r="BM147" i="68"/>
  <c r="BM131" i="68"/>
  <c r="BM115" i="68"/>
  <c r="BM99" i="68"/>
  <c r="BM83" i="68"/>
  <c r="BM67" i="68"/>
  <c r="BM51" i="68"/>
  <c r="BM35" i="68"/>
  <c r="BM19" i="68"/>
  <c r="BM150" i="68"/>
  <c r="BM134" i="68"/>
  <c r="BM118" i="68"/>
  <c r="BM102" i="68"/>
  <c r="BM86" i="68"/>
  <c r="BM70" i="68"/>
  <c r="BM54" i="68"/>
  <c r="BM38" i="68"/>
  <c r="BM22" i="68"/>
  <c r="BM10" i="68"/>
  <c r="BM177" i="68"/>
  <c r="BM161" i="68"/>
  <c r="BM145" i="68"/>
  <c r="BM129" i="68"/>
  <c r="BM113" i="68"/>
  <c r="BM97" i="68"/>
  <c r="BM81" i="68"/>
  <c r="BM65" i="68"/>
  <c r="BM49" i="68"/>
  <c r="BM33" i="68"/>
  <c r="BM17" i="68"/>
  <c r="BM184" i="68"/>
  <c r="BM168" i="68"/>
  <c r="BM152" i="68"/>
  <c r="BM136" i="68"/>
  <c r="BM120" i="68"/>
  <c r="BM104" i="68"/>
  <c r="BM88" i="68"/>
  <c r="BM72" i="68"/>
  <c r="BM56" i="68"/>
  <c r="BM40" i="68"/>
  <c r="BM24" i="68"/>
  <c r="BM191" i="68"/>
  <c r="BM175" i="68"/>
  <c r="BM159" i="68"/>
  <c r="BM143" i="68"/>
  <c r="BM127" i="68"/>
  <c r="BM111" i="68"/>
  <c r="BM95" i="68"/>
  <c r="BM79" i="68"/>
  <c r="BM63" i="68"/>
  <c r="BM47" i="68"/>
  <c r="BM31" i="68"/>
  <c r="BM15" i="68"/>
  <c r="BM162" i="68"/>
  <c r="BM146" i="68"/>
  <c r="BM130" i="68"/>
  <c r="BM114" i="68"/>
  <c r="BM98" i="68"/>
  <c r="BM82" i="68"/>
  <c r="BM66" i="68"/>
  <c r="BM50" i="68"/>
  <c r="BM34" i="68"/>
  <c r="BM18" i="68"/>
  <c r="BM189" i="68"/>
  <c r="BM173" i="68"/>
  <c r="BM157" i="68"/>
  <c r="BM141" i="68"/>
  <c r="BM125" i="68"/>
  <c r="BM109" i="68"/>
  <c r="BM93" i="68"/>
  <c r="BM77" i="68"/>
  <c r="BM61" i="68"/>
  <c r="BM45" i="68"/>
  <c r="BM29" i="68"/>
  <c r="BM13" i="68"/>
  <c r="BM180" i="68"/>
  <c r="BM164" i="68"/>
  <c r="BM148" i="68"/>
  <c r="BM132" i="68"/>
  <c r="BM116" i="68"/>
  <c r="BM100" i="68"/>
  <c r="BM84" i="68"/>
  <c r="BM68" i="68"/>
  <c r="BM52" i="68"/>
  <c r="BM36" i="68"/>
  <c r="BM20" i="68"/>
  <c r="BM187" i="68"/>
  <c r="BM171" i="68"/>
  <c r="BM155" i="68"/>
  <c r="BM139" i="68"/>
  <c r="BM123" i="68"/>
  <c r="BM107" i="68"/>
  <c r="BM91" i="68"/>
  <c r="BM75" i="68"/>
  <c r="BM59" i="68"/>
  <c r="BM43" i="68"/>
  <c r="BM27" i="68"/>
  <c r="Q33" i="63"/>
  <c r="J32" i="63" s="1"/>
  <c r="Z5" i="63"/>
  <c r="V27" i="67"/>
  <c r="G17" i="67" s="1"/>
  <c r="AA1" i="63"/>
  <c r="AB1" i="63"/>
  <c r="AA5" i="63"/>
  <c r="AB5" i="63"/>
  <c r="V10" i="61"/>
  <c r="X19" i="61" s="1"/>
  <c r="CL9" i="68" l="1"/>
  <c r="R28" i="68"/>
  <c r="AA6" i="63"/>
  <c r="V11" i="61"/>
  <c r="B5" i="61" s="1"/>
  <c r="X20" i="61"/>
  <c r="X18" i="61"/>
  <c r="AC14" i="63" l="1"/>
  <c r="AC15" i="63"/>
  <c r="AC16" i="63"/>
  <c r="AA7" i="63"/>
  <c r="A1" i="63" s="1"/>
  <c r="X21" i="61"/>
  <c r="H33" i="61" s="1"/>
  <c r="CG15" i="68" l="1"/>
  <c r="CG17" i="68" s="1"/>
  <c r="K31" i="68" s="1"/>
  <c r="O31" i="68" s="1"/>
  <c r="O32" i="68" s="1"/>
  <c r="O41" i="68" s="1"/>
  <c r="A6" i="68" s="1"/>
  <c r="AC17" i="63"/>
  <c r="G32" i="63" s="1"/>
  <c r="Z38" i="68" l="1"/>
  <c r="L38" i="68" s="1"/>
  <c r="AB5" i="68"/>
  <c r="Z9" i="68"/>
  <c r="AA9" i="68"/>
  <c r="AA10" i="68" s="1"/>
  <c r="AB9" i="68"/>
  <c r="AA5" i="68"/>
  <c r="AC19" i="68" l="1"/>
  <c r="AC20" i="68"/>
  <c r="AA11" i="68"/>
  <c r="A5" i="68" s="1"/>
  <c r="AC18" i="68"/>
  <c r="AC21" i="68" l="1"/>
  <c r="I37" i="68" s="1"/>
</calcChain>
</file>

<file path=xl/sharedStrings.xml><?xml version="1.0" encoding="utf-8"?>
<sst xmlns="http://schemas.openxmlformats.org/spreadsheetml/2006/main" count="1091" uniqueCount="237">
  <si>
    <t>Medaile</t>
  </si>
  <si>
    <t>J</t>
  </si>
  <si>
    <t>Body CIC</t>
  </si>
  <si>
    <t>I</t>
  </si>
  <si>
    <t>(Dama dama)</t>
  </si>
  <si>
    <t>K</t>
  </si>
  <si>
    <t>L</t>
  </si>
  <si>
    <t>M</t>
  </si>
  <si>
    <t>N</t>
  </si>
  <si>
    <t>O</t>
  </si>
  <si>
    <t>Znak SPS</t>
  </si>
  <si>
    <t>Měřená hodnota</t>
  </si>
  <si>
    <t>Vypočtená hodnota</t>
  </si>
  <si>
    <t>koeficient</t>
  </si>
  <si>
    <t>body</t>
  </si>
  <si>
    <t>Délka pravé lodyhy</t>
  </si>
  <si>
    <t>průměr délek</t>
  </si>
  <si>
    <t>Odhad stáří</t>
  </si>
  <si>
    <t>H</t>
  </si>
  <si>
    <t>Délka levé lodyhy</t>
  </si>
  <si>
    <t>Délka pravého očníku</t>
  </si>
  <si>
    <t>Hmotnost vyvrženého kusu v kg</t>
  </si>
  <si>
    <t>G</t>
  </si>
  <si>
    <t>Délka levého očníku</t>
  </si>
  <si>
    <t>Délka pravé lopaty</t>
  </si>
  <si>
    <t>Délka levé lopaty</t>
  </si>
  <si>
    <t>Den   Měsíc  Rrok</t>
  </si>
  <si>
    <t>Data ulovení</t>
  </si>
  <si>
    <t>F</t>
  </si>
  <si>
    <t>Šířka pravé lopaty</t>
  </si>
  <si>
    <t>průměr šířek</t>
  </si>
  <si>
    <t>Šířka levé lopaty</t>
  </si>
  <si>
    <t>Obvod pravé růže</t>
  </si>
  <si>
    <t>průměr obodů</t>
  </si>
  <si>
    <t>Obvod levé růže</t>
  </si>
  <si>
    <t>Obvod pravé lodyhy mezi očníkem a opěrákem</t>
  </si>
  <si>
    <t>součet obodů</t>
  </si>
  <si>
    <t>Druh honitby</t>
  </si>
  <si>
    <t>E</t>
  </si>
  <si>
    <t>Obvod levé lodyhy mezi očníkem a opěrákem</t>
  </si>
  <si>
    <t>Obvod pravé lodyhy mezi opěrákem a lopatou</t>
  </si>
  <si>
    <t>součet výsad</t>
  </si>
  <si>
    <t>Honitba</t>
  </si>
  <si>
    <t>Místo ulovení</t>
  </si>
  <si>
    <t>D</t>
  </si>
  <si>
    <t>Obvod levé lodyhy mezi opěrákem a lopatou</t>
  </si>
  <si>
    <t>Hmotnost trofeje</t>
  </si>
  <si>
    <t>čistá hmotnost</t>
  </si>
  <si>
    <t>Přirážky</t>
  </si>
  <si>
    <t>barva</t>
  </si>
  <si>
    <t>0 - 2 body</t>
  </si>
  <si>
    <t>Okres</t>
  </si>
  <si>
    <t>krajkování</t>
  </si>
  <si>
    <t>0 - 6 bodů</t>
  </si>
  <si>
    <t>vyspělost, tvar a pravidelnost</t>
  </si>
  <si>
    <t>0 - 5 bodů</t>
  </si>
  <si>
    <t>Kraj</t>
  </si>
  <si>
    <t>Celkem kladných bodů</t>
  </si>
  <si>
    <t>Jméno lovce</t>
  </si>
  <si>
    <t>C</t>
  </si>
  <si>
    <t>Srážky</t>
  </si>
  <si>
    <t>rozloha</t>
  </si>
  <si>
    <t>vady lopat</t>
  </si>
  <si>
    <t>0 - 10 bodů</t>
  </si>
  <si>
    <t>hrany lopat</t>
  </si>
  <si>
    <t>nepravidelnost</t>
  </si>
  <si>
    <t>Celkem záporných bodů</t>
  </si>
  <si>
    <t>Poznámka:</t>
  </si>
  <si>
    <t>Ćíslo</t>
  </si>
  <si>
    <t>Trofej</t>
  </si>
  <si>
    <t>B</t>
  </si>
  <si>
    <t>Bodová hodnota trofeje</t>
  </si>
  <si>
    <t>Druh</t>
  </si>
  <si>
    <t>A</t>
  </si>
  <si>
    <t>Místo hodnocení</t>
  </si>
  <si>
    <t>Datum</t>
  </si>
  <si>
    <t>Hodnotil</t>
  </si>
  <si>
    <t>Ćíslo štítku</t>
  </si>
  <si>
    <t>Délka lebka</t>
  </si>
  <si>
    <t>Šířka lebky</t>
  </si>
  <si>
    <t>KŮŽE MEDVĚDA - VLKA</t>
  </si>
  <si>
    <t>Délka kůže</t>
  </si>
  <si>
    <t>Šířka kůže</t>
  </si>
  <si>
    <t>Přirážky na vzhled</t>
  </si>
  <si>
    <t>KŮŽE RYSA - DIVOKÉ KOČKY</t>
  </si>
  <si>
    <t>Rozpětí</t>
  </si>
  <si>
    <t>(Capreolus capreolus)</t>
  </si>
  <si>
    <t>Průměr délek</t>
  </si>
  <si>
    <t>Hmotnost</t>
  </si>
  <si>
    <t>Čistá hmotnost</t>
  </si>
  <si>
    <t>Objem parůžků</t>
  </si>
  <si>
    <t>0 - 4 body</t>
  </si>
  <si>
    <t>perlení</t>
  </si>
  <si>
    <t>růže</t>
  </si>
  <si>
    <t>hroty výsad</t>
  </si>
  <si>
    <t>pravidelnost a tvar</t>
  </si>
  <si>
    <t>0 - 5 body</t>
  </si>
  <si>
    <t>Srážky na vady</t>
  </si>
  <si>
    <t>Číslo</t>
  </si>
  <si>
    <t>Muflon</t>
  </si>
  <si>
    <t>(Ovis musimon)</t>
  </si>
  <si>
    <t>Délka pravého toulce</t>
  </si>
  <si>
    <t>Délka levého toulce</t>
  </si>
  <si>
    <t>Obvod pravého toulce v první třetině</t>
  </si>
  <si>
    <t>průměr obvodů</t>
  </si>
  <si>
    <t>Obvod levého toulce v první třetině</t>
  </si>
  <si>
    <t>Obvod levého toulce v druhé třetině</t>
  </si>
  <si>
    <t>Obvod pravého toulce v druhé třetině</t>
  </si>
  <si>
    <t>Obvod pravého toulce v třetí třetině</t>
  </si>
  <si>
    <t>Obvod levého toulce v třetí třetině</t>
  </si>
  <si>
    <t>Rozloha toulců</t>
  </si>
  <si>
    <t>0 - 3 body</t>
  </si>
  <si>
    <t>vrubování</t>
  </si>
  <si>
    <t>vinutí toulců</t>
  </si>
  <si>
    <t>Srážky za vzhled</t>
  </si>
  <si>
    <t>(Rupicapra rupicapra)</t>
  </si>
  <si>
    <t>Délka pravého růžku</t>
  </si>
  <si>
    <t>Délka levého růžku</t>
  </si>
  <si>
    <t>Obvod silnějšího růžku</t>
  </si>
  <si>
    <t>Výška růžků</t>
  </si>
  <si>
    <t>Rozloha růžků</t>
  </si>
  <si>
    <t>Přirážky na stáří</t>
  </si>
  <si>
    <t>Kňour</t>
  </si>
  <si>
    <t>(Sus scrofa)</t>
  </si>
  <si>
    <t>Délka pravého páráku</t>
  </si>
  <si>
    <t>Délka levého páráku</t>
  </si>
  <si>
    <t>Šířka pravého páráku</t>
  </si>
  <si>
    <t>Šířka levého páráku</t>
  </si>
  <si>
    <t>součet obvodů</t>
  </si>
  <si>
    <t>Přirážky na tvar zbraní</t>
  </si>
  <si>
    <t>Srážky za nepravidelnost</t>
  </si>
  <si>
    <t>(Cervus elaphus)</t>
  </si>
  <si>
    <t>Délka pravého opěráku</t>
  </si>
  <si>
    <t>Délka levého opěráku</t>
  </si>
  <si>
    <t>Obvod pravé lodyhy mezi opěrákem a korunou</t>
  </si>
  <si>
    <t>Obvod levé lodyhy mezi opěrákem a korunou</t>
  </si>
  <si>
    <t>Počet výsad na pravé lodyze</t>
  </si>
  <si>
    <t>Počet výsad na levé lodyze</t>
  </si>
  <si>
    <t>rozloha paroží</t>
  </si>
  <si>
    <t>nadočníky</t>
  </si>
  <si>
    <t>koruna</t>
  </si>
  <si>
    <t>0 - 10 body</t>
  </si>
  <si>
    <t>Srážky za vady</t>
  </si>
  <si>
    <t>SU</t>
  </si>
  <si>
    <t>OL</t>
  </si>
  <si>
    <t>II</t>
  </si>
  <si>
    <t>Bronzová medaile</t>
  </si>
  <si>
    <t>Stříbrná medaile</t>
  </si>
  <si>
    <t xml:space="preserve"> JEZEVEC</t>
  </si>
  <si>
    <r>
      <t xml:space="preserve">Poznámka:                                            </t>
    </r>
    <r>
      <rPr>
        <b/>
        <sz val="10"/>
        <rFont val="Times New Roman CE"/>
        <charset val="238"/>
      </rPr>
      <t>Stříbrná medaile</t>
    </r>
  </si>
  <si>
    <t xml:space="preserve">Poznámka:                                            </t>
  </si>
  <si>
    <t>Psík mývalovitý</t>
  </si>
  <si>
    <t xml:space="preserve">LIŠKA </t>
  </si>
  <si>
    <r>
      <t xml:space="preserve">Poznámka:                 </t>
    </r>
    <r>
      <rPr>
        <b/>
        <sz val="10"/>
        <rFont val="Times New Roman CE"/>
        <charset val="238"/>
      </rPr>
      <t xml:space="preserve">Stříbrná medaile                                        </t>
    </r>
  </si>
  <si>
    <t>(Cervus nippon nippon)</t>
  </si>
  <si>
    <t>Vnitřní rozloha</t>
  </si>
  <si>
    <t>Délka</t>
  </si>
  <si>
    <t>1 abnormální výsady</t>
  </si>
  <si>
    <t>2 abnormální výsady</t>
  </si>
  <si>
    <t>3 abnormální výsady</t>
  </si>
  <si>
    <t>4 abnormální výsady</t>
  </si>
  <si>
    <t>pravé 1 výsady (očníku)</t>
  </si>
  <si>
    <t>levé 1 výsady (očníku)</t>
  </si>
  <si>
    <r>
      <t>pravé 2 výsady</t>
    </r>
    <r>
      <rPr>
        <sz val="8"/>
        <rFont val="Times New Roman CE"/>
        <charset val="238"/>
      </rPr>
      <t xml:space="preserve"> (opěráku)</t>
    </r>
  </si>
  <si>
    <t>levé 2 výsady (opěráku)</t>
  </si>
  <si>
    <r>
      <t>pravé 3 výsady</t>
    </r>
    <r>
      <rPr>
        <sz val="8"/>
        <rFont val="Times New Roman CE"/>
        <charset val="238"/>
      </rPr>
      <t xml:space="preserve"> (vnitřní)</t>
    </r>
  </si>
  <si>
    <t>levé 3 výsady (vnitřní)</t>
  </si>
  <si>
    <r>
      <t>pravé 4 výsady</t>
    </r>
    <r>
      <rPr>
        <sz val="8"/>
        <rFont val="Times New Roman CE"/>
        <charset val="238"/>
      </rPr>
      <t xml:space="preserve"> (kor.)</t>
    </r>
  </si>
  <si>
    <t>levé 4 výsady (kor.)</t>
  </si>
  <si>
    <r>
      <t>pravé 5 výsady</t>
    </r>
    <r>
      <rPr>
        <sz val="8"/>
        <rFont val="Times New Roman CE"/>
        <charset val="238"/>
      </rPr>
      <t xml:space="preserve"> (kor.)</t>
    </r>
  </si>
  <si>
    <t>levé 5 výsady (kor.)</t>
  </si>
  <si>
    <r>
      <t>pravé 6 výsady</t>
    </r>
    <r>
      <rPr>
        <sz val="8"/>
        <rFont val="Times New Roman CE"/>
        <charset val="238"/>
      </rPr>
      <t xml:space="preserve"> (kor.)</t>
    </r>
  </si>
  <si>
    <t>levé 6 výsady (kor.)</t>
  </si>
  <si>
    <t>Obvod</t>
  </si>
  <si>
    <t>pravé lodyhy mezi opěrákem a očníkem</t>
  </si>
  <si>
    <t>levé lodyhy mezi opěrákem a očníkem</t>
  </si>
  <si>
    <t>pravé lodyhy mezi opěrákem a 3 výsadou</t>
  </si>
  <si>
    <t>levé lodyhy mezi opěrákem a 3 výsadou</t>
  </si>
  <si>
    <t>Sika</t>
  </si>
  <si>
    <t xml:space="preserve">Součtové hodnoty </t>
  </si>
  <si>
    <t>Do větší délky lodyhy</t>
  </si>
  <si>
    <t>Součty délek</t>
  </si>
  <si>
    <t>SPS 37 (1 či 2)</t>
  </si>
  <si>
    <t>Součet délek</t>
  </si>
  <si>
    <t>Součty obvodů</t>
  </si>
  <si>
    <t>P</t>
  </si>
  <si>
    <t>Rozdíl délek</t>
  </si>
  <si>
    <t>Rozdíl obvodů</t>
  </si>
  <si>
    <t>Poznámka</t>
  </si>
  <si>
    <t>Bodová hodnota trofeje ( M - P)</t>
  </si>
  <si>
    <t>Zlatá medaile</t>
  </si>
  <si>
    <t>Vyšehoří</t>
  </si>
  <si>
    <t>Pravá</t>
  </si>
  <si>
    <t>Levá</t>
  </si>
  <si>
    <t>S</t>
  </si>
  <si>
    <t>Dlouhá</t>
  </si>
  <si>
    <t>Střední</t>
  </si>
  <si>
    <t>Krátká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</si>
  <si>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</si>
  <si>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</si>
  <si>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</si>
  <si>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</si>
  <si>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</si>
  <si>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</si>
  <si>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</si>
  <si>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</si>
  <si>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</si>
  <si>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</si>
  <si>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</si>
  <si>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celkem</t>
  </si>
  <si>
    <t>Su</t>
  </si>
  <si>
    <t>15.1cm a více</t>
  </si>
  <si>
    <t>10.1 -15 cm</t>
  </si>
  <si>
    <t>2-10 cm</t>
  </si>
  <si>
    <t>Ing.Vladimír Diviš, Sedlmayer Jiří, Hanák Jiří</t>
  </si>
  <si>
    <t>rozpětí</t>
  </si>
  <si>
    <t>C index</t>
  </si>
  <si>
    <t>Kamzík horský - kamzík</t>
  </si>
  <si>
    <t>Obvod silnějšího růžku bez zasmolení</t>
  </si>
  <si>
    <t>pravý</t>
  </si>
  <si>
    <t>Kamzík horský - kamzice</t>
  </si>
  <si>
    <t>Obvod pravého klektáku</t>
  </si>
  <si>
    <t>Obvod levého klektáku</t>
  </si>
  <si>
    <t>Třetiny</t>
  </si>
  <si>
    <t>levý</t>
  </si>
  <si>
    <t>Koruna jelena</t>
  </si>
  <si>
    <t>Rozpětí hrotů lodyh</t>
  </si>
  <si>
    <t>Mýval severní</t>
  </si>
  <si>
    <t>Hanušovice</t>
  </si>
  <si>
    <t xml:space="preserve">Ing.Vladimír Diviš, Jiří Hanák, Miroslav Kozák </t>
  </si>
  <si>
    <t>Sika Dybowského</t>
  </si>
  <si>
    <t>Daňek skvrnitý</t>
  </si>
  <si>
    <t>Jelen evropský</t>
  </si>
  <si>
    <t>Srnec obecný</t>
  </si>
  <si>
    <t>pozor 130</t>
  </si>
  <si>
    <t>Českomoravská myslivecká jednota, z.s.</t>
  </si>
  <si>
    <t>Hodnotitelská tabulka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</si>
</sst>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0.000"/>
    <numFmt numFmtId="166" formatCode="0.0"/>
  </numFmts>
  <fonts count="37" x14ac:knownFonts="1">
    <font>
      <sz val="10"/>
      <name val="Arial CE"/>
      <charset val="238"/>
    </font>
    <font>
      <b/>
      <sz val="10"/>
      <name val="Times New Roman CE"/>
      <family val="1"/>
      <charset val="238"/>
    </font>
    <font>
      <sz val="10"/>
      <name val="Times New Roman CE"/>
      <charset val="238"/>
    </font>
    <font>
      <b/>
      <sz val="16"/>
      <name val="Times New Roman CE"/>
      <family val="1"/>
      <charset val="238"/>
    </font>
    <font>
      <b/>
      <sz val="10"/>
      <name val="Times New Roman CE"/>
      <charset val="238"/>
    </font>
    <font>
      <sz val="10"/>
      <name val="Times New Roman CE"/>
      <family val="1"/>
      <charset val="238"/>
    </font>
    <font>
      <sz val="8"/>
      <name val="Times New Roman CE"/>
      <family val="1"/>
      <charset val="238"/>
    </font>
    <font>
      <sz val="9"/>
      <name val="Times New Roman CE"/>
      <charset val="238"/>
    </font>
    <font>
      <sz val="9"/>
      <name val="Times New Roman CE"/>
      <family val="1"/>
      <charset val="238"/>
    </font>
    <font>
      <b/>
      <sz val="9"/>
      <name val="Times New Roman CE"/>
      <family val="1"/>
      <charset val="238"/>
    </font>
    <font>
      <b/>
      <sz val="12"/>
      <color indexed="10"/>
      <name val="Times New Roman CE"/>
      <family val="1"/>
      <charset val="238"/>
    </font>
    <font>
      <sz val="6"/>
      <name val="Times New Roman CE"/>
      <charset val="238"/>
    </font>
    <font>
      <sz val="7"/>
      <name val="Times New Roman CE"/>
      <charset val="238"/>
    </font>
    <font>
      <sz val="7"/>
      <name val="Times New Roman CE"/>
      <family val="1"/>
      <charset val="238"/>
    </font>
    <font>
      <sz val="8"/>
      <name val="Times New Roman CE"/>
      <charset val="238"/>
    </font>
    <font>
      <sz val="12"/>
      <name val="Times New Roman CE"/>
      <family val="1"/>
      <charset val="238"/>
    </font>
    <font>
      <sz val="4"/>
      <name val="Times New Roman CE"/>
      <charset val="238"/>
    </font>
    <font>
      <b/>
      <sz val="10"/>
      <name val="Arial CE"/>
      <charset val="238"/>
    </font>
    <font>
      <sz val="5"/>
      <name val="Times New Roman CE"/>
      <charset val="238"/>
    </font>
    <font>
      <sz val="10"/>
      <name val="Times New Roman"/>
      <family val="1"/>
      <charset val="238"/>
    </font>
    <font>
      <b/>
      <sz val="12"/>
      <name val="Times New Roman CE"/>
      <charset val="238"/>
    </font>
    <font>
      <sz val="6"/>
      <name val="Times New Roman CE"/>
      <family val="1"/>
      <charset val="238"/>
    </font>
    <font>
      <sz val="8"/>
      <name val="Arial CE"/>
      <charset val="238"/>
    </font>
    <font>
      <sz val="10"/>
      <name val="Arial CE"/>
      <charset val="238"/>
    </font>
    <font>
      <b/>
      <sz val="14"/>
      <name val="Times New Roman CE"/>
      <charset val="238"/>
    </font>
    <font>
      <sz val="14"/>
      <name val="Times New Roman CE"/>
      <family val="1"/>
      <charset val="238"/>
    </font>
    <font>
      <sz val="14"/>
      <name val="Arial CE"/>
      <charset val="238"/>
    </font>
    <font>
      <b/>
      <sz val="12"/>
      <name val="Cambria"/>
      <family val="1"/>
      <charset val="238"/>
    </font>
    <font>
      <b/>
      <sz val="12"/>
      <name val="Times New Roman CE"/>
      <family val="1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FF0000"/>
      <name val="Times New Roman CE"/>
      <charset val="238"/>
    </font>
    <font>
      <b/>
      <sz val="11"/>
      <color rgb="FFFF0000"/>
      <name val="Times New Roman CE"/>
      <charset val="238"/>
    </font>
    <font>
      <b/>
      <sz val="12"/>
      <color rgb="FFFF0000"/>
      <name val="Times New Roman CE"/>
      <charset val="238"/>
    </font>
    <font>
      <b/>
      <sz val="18"/>
      <color rgb="FFFF0000"/>
      <name val="Times New Roman CE"/>
      <charset val="238"/>
    </font>
    <font>
      <b/>
      <sz val="12"/>
      <color rgb="FFFF0000"/>
      <name val="Arial CE"/>
      <charset val="238"/>
    </font>
    <font>
      <b/>
      <sz val="14"/>
      <name val="Times New Roman CE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/>
      <top/>
      <bottom/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1">
    <xf numFmtId="0" fontId="0" fillId="0" borderId="0" xfId="0"/>
    <xf numFmtId="0" fontId="1" fillId="0" borderId="0" xfId="0" applyFont="1" applyProtection="1">
      <protection hidden="1"/>
    </xf>
    <xf numFmtId="0" fontId="5" fillId="0" borderId="0" xfId="0" applyFont="1" applyBorder="1" applyAlignment="1" applyProtection="1">
      <alignment horizontal="center"/>
      <protection hidden="1"/>
    </xf>
    <xf numFmtId="0" fontId="5" fillId="0" borderId="0" xfId="0" applyFont="1" applyProtection="1">
      <protection hidden="1"/>
    </xf>
    <xf numFmtId="0" fontId="6" fillId="0" borderId="2" xfId="0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horizontal="center" vertical="center"/>
      <protection hidden="1"/>
    </xf>
    <xf numFmtId="2" fontId="6" fillId="0" borderId="3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6" fillId="0" borderId="4" xfId="0" applyFont="1" applyBorder="1" applyAlignment="1" applyProtection="1">
      <alignment horizontal="center" vertical="center"/>
      <protection hidden="1"/>
    </xf>
    <xf numFmtId="2" fontId="6" fillId="0" borderId="5" xfId="0" applyNumberFormat="1" applyFont="1" applyBorder="1" applyAlignment="1" applyProtection="1">
      <alignment horizontal="center" vertical="center"/>
      <protection hidden="1"/>
    </xf>
    <xf numFmtId="0" fontId="6" fillId="0" borderId="6" xfId="0" applyFont="1" applyBorder="1" applyAlignment="1" applyProtection="1">
      <alignment horizontal="center" vertical="center" wrapText="1"/>
      <protection hidden="1"/>
    </xf>
    <xf numFmtId="0" fontId="2" fillId="0" borderId="7" xfId="0" applyFont="1" applyBorder="1" applyAlignment="1" applyProtection="1">
      <alignment horizontal="center" vertical="center" wrapText="1"/>
      <protection hidden="1"/>
    </xf>
    <xf numFmtId="2" fontId="2" fillId="0" borderId="8" xfId="0" applyNumberFormat="1" applyFont="1" applyBorder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vertical="center" wrapText="1"/>
      <protection hidden="1"/>
    </xf>
    <xf numFmtId="0" fontId="2" fillId="0" borderId="9" xfId="0" applyFont="1" applyBorder="1" applyAlignment="1" applyProtection="1">
      <alignment horizontal="center" vertical="center" wrapText="1"/>
      <protection hidden="1"/>
    </xf>
    <xf numFmtId="2" fontId="2" fillId="0" borderId="10" xfId="0" applyNumberFormat="1" applyFont="1" applyBorder="1" applyAlignment="1" applyProtection="1">
      <alignment horizontal="center" vertical="center" wrapText="1"/>
      <protection hidden="1"/>
    </xf>
    <xf numFmtId="0" fontId="5" fillId="0" borderId="11" xfId="0" applyFont="1" applyBorder="1" applyAlignment="1" applyProtection="1">
      <alignment horizontal="center" vertical="center" wrapText="1"/>
      <protection hidden="1"/>
    </xf>
    <xf numFmtId="165" fontId="5" fillId="0" borderId="0" xfId="0" applyNumberFormat="1" applyFont="1" applyAlignment="1" applyProtection="1">
      <alignment vertical="center" wrapText="1"/>
      <protection hidden="1"/>
    </xf>
    <xf numFmtId="0" fontId="5" fillId="0" borderId="11" xfId="0" applyFont="1" applyBorder="1" applyAlignment="1" applyProtection="1">
      <alignment horizontal="center" vertical="center" textRotation="90" wrapText="1"/>
      <protection locked="0" hidden="1"/>
    </xf>
    <xf numFmtId="2" fontId="5" fillId="0" borderId="12" xfId="0" applyNumberFormat="1" applyFont="1" applyBorder="1" applyAlignment="1" applyProtection="1">
      <alignment horizontal="center" vertical="center" wrapText="1"/>
      <protection hidden="1"/>
    </xf>
    <xf numFmtId="0" fontId="5" fillId="0" borderId="13" xfId="0" applyFont="1" applyBorder="1" applyAlignment="1" applyProtection="1">
      <alignment horizontal="center" vertical="center" wrapText="1"/>
      <protection hidden="1"/>
    </xf>
    <xf numFmtId="0" fontId="2" fillId="0" borderId="11" xfId="0" applyFont="1" applyBorder="1" applyAlignment="1" applyProtection="1">
      <alignment horizontal="center" vertical="center" textRotation="90" wrapText="1"/>
      <protection locked="0" hidden="1"/>
    </xf>
    <xf numFmtId="2" fontId="5" fillId="2" borderId="14" xfId="0" applyNumberFormat="1" applyFont="1" applyFill="1" applyBorder="1" applyAlignment="1" applyProtection="1">
      <alignment horizontal="center" vertical="center" wrapText="1"/>
      <protection locked="0" hidden="1"/>
    </xf>
    <xf numFmtId="0" fontId="5" fillId="0" borderId="6" xfId="0" applyFont="1" applyBorder="1" applyAlignment="1" applyProtection="1">
      <alignment horizontal="center" vertical="center" wrapText="1"/>
      <protection hidden="1"/>
    </xf>
    <xf numFmtId="2" fontId="5" fillId="2" borderId="15" xfId="0" applyNumberFormat="1" applyFont="1" applyFill="1" applyBorder="1" applyAlignment="1" applyProtection="1">
      <alignment horizontal="center" vertical="center" wrapText="1"/>
      <protection locked="0" hidden="1"/>
    </xf>
    <xf numFmtId="2" fontId="5" fillId="0" borderId="15" xfId="0" applyNumberFormat="1" applyFont="1" applyBorder="1" applyAlignment="1" applyProtection="1">
      <alignment horizontal="center" vertical="center" wrapText="1"/>
      <protection hidden="1"/>
    </xf>
    <xf numFmtId="0" fontId="5" fillId="0" borderId="16" xfId="0" applyFont="1" applyBorder="1" applyAlignment="1" applyProtection="1">
      <alignment vertical="center" wrapText="1"/>
      <protection hidden="1"/>
    </xf>
    <xf numFmtId="2" fontId="5" fillId="0" borderId="16" xfId="0" applyNumberFormat="1" applyFont="1" applyFill="1" applyBorder="1" applyAlignment="1" applyProtection="1">
      <alignment vertical="center" wrapText="1"/>
      <protection hidden="1"/>
    </xf>
    <xf numFmtId="166" fontId="5" fillId="0" borderId="17" xfId="0" applyNumberFormat="1" applyFont="1" applyBorder="1" applyAlignment="1" applyProtection="1">
      <alignment horizontal="center" vertical="center" wrapText="1"/>
      <protection hidden="1"/>
    </xf>
    <xf numFmtId="2" fontId="5" fillId="0" borderId="12" xfId="0" applyNumberFormat="1" applyFont="1" applyFill="1" applyBorder="1" applyAlignment="1" applyProtection="1">
      <alignment horizontal="center" vertical="center" wrapText="1"/>
      <protection locked="0" hidden="1"/>
    </xf>
    <xf numFmtId="0" fontId="2" fillId="0" borderId="18" xfId="0" applyFont="1" applyBorder="1" applyAlignment="1" applyProtection="1">
      <alignment vertical="center" textRotation="90" wrapText="1"/>
      <protection hidden="1"/>
    </xf>
    <xf numFmtId="0" fontId="9" fillId="0" borderId="19" xfId="0" applyFont="1" applyBorder="1" applyAlignment="1" applyProtection="1">
      <alignment horizontal="left" vertical="center" wrapText="1"/>
      <protection hidden="1"/>
    </xf>
    <xf numFmtId="2" fontId="5" fillId="0" borderId="19" xfId="0" applyNumberFormat="1" applyFont="1" applyBorder="1" applyAlignment="1" applyProtection="1">
      <alignment horizontal="center" vertical="center" wrapText="1"/>
      <protection hidden="1"/>
    </xf>
    <xf numFmtId="0" fontId="5" fillId="0" borderId="19" xfId="0" applyFont="1" applyBorder="1" applyAlignment="1" applyProtection="1">
      <alignment vertical="center" wrapText="1"/>
      <protection hidden="1"/>
    </xf>
    <xf numFmtId="2" fontId="5" fillId="0" borderId="19" xfId="0" applyNumberFormat="1" applyFont="1" applyBorder="1" applyAlignment="1" applyProtection="1">
      <alignment vertical="center" wrapText="1"/>
      <protection hidden="1"/>
    </xf>
    <xf numFmtId="0" fontId="5" fillId="0" borderId="20" xfId="0" applyFont="1" applyBorder="1" applyAlignment="1" applyProtection="1">
      <alignment vertical="center" wrapText="1"/>
      <protection hidden="1"/>
    </xf>
    <xf numFmtId="2" fontId="1" fillId="0" borderId="21" xfId="0" applyNumberFormat="1" applyFont="1" applyBorder="1" applyAlignment="1" applyProtection="1">
      <alignment horizontal="center" vertical="center" wrapText="1"/>
      <protection hidden="1"/>
    </xf>
    <xf numFmtId="0" fontId="8" fillId="0" borderId="22" xfId="0" applyFont="1" applyBorder="1" applyAlignment="1" applyProtection="1">
      <alignment vertical="center" wrapText="1"/>
      <protection hidden="1"/>
    </xf>
    <xf numFmtId="2" fontId="5" fillId="0" borderId="16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23" xfId="0" applyFont="1" applyBorder="1" applyAlignment="1" applyProtection="1">
      <alignment vertical="center" wrapText="1"/>
      <protection hidden="1"/>
    </xf>
    <xf numFmtId="0" fontId="8" fillId="0" borderId="24" xfId="0" applyFont="1" applyBorder="1" applyAlignment="1" applyProtection="1">
      <alignment vertical="center" wrapText="1"/>
      <protection hidden="1"/>
    </xf>
    <xf numFmtId="2" fontId="5" fillId="0" borderId="25" xfId="0" applyNumberFormat="1" applyFont="1" applyFill="1" applyBorder="1" applyAlignment="1" applyProtection="1">
      <alignment vertical="center" wrapText="1"/>
      <protection hidden="1"/>
    </xf>
    <xf numFmtId="166" fontId="5" fillId="0" borderId="26" xfId="0" applyNumberFormat="1" applyFont="1" applyBorder="1" applyAlignment="1" applyProtection="1">
      <alignment horizontal="center" vertical="center" wrapText="1"/>
      <protection hidden="1"/>
    </xf>
    <xf numFmtId="0" fontId="5" fillId="0" borderId="25" xfId="0" applyFont="1" applyBorder="1" applyAlignment="1" applyProtection="1">
      <alignment vertical="center" wrapText="1"/>
      <protection hidden="1"/>
    </xf>
    <xf numFmtId="0" fontId="5" fillId="0" borderId="6" xfId="0" applyFont="1" applyBorder="1" applyAlignment="1" applyProtection="1">
      <alignment horizontal="center" vertical="center"/>
      <protection hidden="1"/>
    </xf>
    <xf numFmtId="2" fontId="10" fillId="0" borderId="27" xfId="0" applyNumberFormat="1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protection hidden="1"/>
    </xf>
    <xf numFmtId="0" fontId="5" fillId="0" borderId="0" xfId="0" applyFont="1" applyAlignment="1" applyProtection="1">
      <alignment textRotation="90"/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 vertical="center" textRotation="90"/>
      <protection hidden="1"/>
    </xf>
    <xf numFmtId="2" fontId="5" fillId="0" borderId="0" xfId="0" applyNumberFormat="1" applyFont="1" applyAlignment="1" applyProtection="1">
      <alignment horizontal="center" vertical="center"/>
      <protection hidden="1"/>
    </xf>
    <xf numFmtId="2" fontId="5" fillId="0" borderId="0" xfId="0" applyNumberFormat="1" applyFont="1" applyAlignment="1" applyProtection="1">
      <protection hidden="1"/>
    </xf>
    <xf numFmtId="0" fontId="5" fillId="0" borderId="0" xfId="0" applyFont="1" applyAlignment="1" applyProtection="1">
      <alignment horizontal="center"/>
      <protection hidden="1"/>
    </xf>
    <xf numFmtId="2" fontId="5" fillId="0" borderId="0" xfId="0" applyNumberFormat="1" applyFont="1" applyProtection="1">
      <protection hidden="1"/>
    </xf>
    <xf numFmtId="0" fontId="1" fillId="0" borderId="2" xfId="0" applyFont="1" applyBorder="1" applyAlignment="1" applyProtection="1">
      <alignment textRotation="90"/>
      <protection hidden="1"/>
    </xf>
    <xf numFmtId="0" fontId="12" fillId="0" borderId="28" xfId="0" applyFont="1" applyBorder="1" applyAlignment="1" applyProtection="1">
      <alignment horizontal="center" vertical="center" textRotation="90"/>
      <protection hidden="1"/>
    </xf>
    <xf numFmtId="0" fontId="6" fillId="0" borderId="28" xfId="0" applyFont="1" applyBorder="1" applyAlignment="1" applyProtection="1">
      <alignment horizontal="center" vertical="center"/>
      <protection hidden="1"/>
    </xf>
    <xf numFmtId="2" fontId="6" fillId="0" borderId="29" xfId="0" applyNumberFormat="1" applyFont="1" applyBorder="1" applyAlignment="1" applyProtection="1">
      <alignment horizontal="center" vertical="center"/>
      <protection hidden="1"/>
    </xf>
    <xf numFmtId="0" fontId="13" fillId="0" borderId="30" xfId="0" applyFont="1" applyBorder="1" applyAlignment="1" applyProtection="1">
      <alignment horizontal="center" vertical="center" wrapText="1"/>
      <protection hidden="1"/>
    </xf>
    <xf numFmtId="0" fontId="14" fillId="0" borderId="18" xfId="0" applyFont="1" applyBorder="1" applyAlignment="1" applyProtection="1">
      <alignment horizontal="center" vertical="center" wrapText="1"/>
      <protection hidden="1"/>
    </xf>
    <xf numFmtId="2" fontId="14" fillId="0" borderId="31" xfId="0" applyNumberFormat="1" applyFont="1" applyBorder="1" applyAlignment="1" applyProtection="1">
      <alignment horizontal="center" vertical="center" wrapText="1"/>
      <protection hidden="1"/>
    </xf>
    <xf numFmtId="0" fontId="2" fillId="0" borderId="0" xfId="0" applyFont="1" applyBorder="1" applyAlignment="1" applyProtection="1">
      <alignment horizontal="center" vertical="center" wrapText="1"/>
      <protection hidden="1"/>
    </xf>
    <xf numFmtId="2" fontId="5" fillId="2" borderId="12" xfId="0" applyNumberFormat="1" applyFont="1" applyFill="1" applyBorder="1" applyAlignment="1" applyProtection="1">
      <alignment horizontal="center" vertical="center" wrapText="1"/>
      <protection hidden="1"/>
    </xf>
    <xf numFmtId="2" fontId="5" fillId="0" borderId="27" xfId="0" applyNumberFormat="1" applyFont="1" applyBorder="1" applyAlignment="1" applyProtection="1">
      <alignment horizontal="center" vertical="center" wrapText="1"/>
      <protection hidden="1"/>
    </xf>
    <xf numFmtId="0" fontId="11" fillId="0" borderId="32" xfId="0" applyFont="1" applyBorder="1" applyAlignment="1" applyProtection="1">
      <alignment vertical="center" textRotation="90" wrapText="1"/>
      <protection hidden="1"/>
    </xf>
    <xf numFmtId="0" fontId="12" fillId="0" borderId="33" xfId="0" applyFont="1" applyBorder="1" applyAlignment="1" applyProtection="1">
      <alignment vertical="center" textRotation="90" wrapText="1"/>
      <protection hidden="1"/>
    </xf>
    <xf numFmtId="2" fontId="5" fillId="0" borderId="32" xfId="0" applyNumberFormat="1" applyFont="1" applyBorder="1" applyAlignment="1" applyProtection="1">
      <alignment vertical="center" wrapText="1"/>
      <protection hidden="1"/>
    </xf>
    <xf numFmtId="0" fontId="18" fillId="0" borderId="18" xfId="0" applyFont="1" applyBorder="1" applyAlignment="1" applyProtection="1">
      <alignment horizontal="center" vertical="center" textRotation="90" wrapText="1"/>
      <protection hidden="1"/>
    </xf>
    <xf numFmtId="0" fontId="0" fillId="0" borderId="14" xfId="0" applyBorder="1"/>
    <xf numFmtId="0" fontId="0" fillId="0" borderId="18" xfId="0" applyBorder="1"/>
    <xf numFmtId="0" fontId="14" fillId="0" borderId="31" xfId="0" applyFont="1" applyFill="1" applyBorder="1" applyAlignment="1" applyProtection="1">
      <alignment horizontal="center" vertical="center" wrapText="1"/>
      <protection hidden="1"/>
    </xf>
    <xf numFmtId="0" fontId="14" fillId="0" borderId="34" xfId="0" applyFont="1" applyFill="1" applyBorder="1" applyAlignment="1" applyProtection="1">
      <alignment vertical="center" wrapText="1"/>
      <protection hidden="1"/>
    </xf>
    <xf numFmtId="0" fontId="19" fillId="0" borderId="11" xfId="0" applyFont="1" applyBorder="1" applyAlignment="1">
      <alignment horizontal="center"/>
    </xf>
    <xf numFmtId="0" fontId="0" fillId="0" borderId="14" xfId="0" applyBorder="1" applyAlignment="1"/>
    <xf numFmtId="166" fontId="5" fillId="0" borderId="32" xfId="0" applyNumberFormat="1" applyFont="1" applyBorder="1" applyAlignment="1" applyProtection="1">
      <alignment vertical="center" wrapText="1"/>
      <protection hidden="1"/>
    </xf>
    <xf numFmtId="0" fontId="0" fillId="0" borderId="35" xfId="0" applyBorder="1" applyAlignment="1"/>
    <xf numFmtId="2" fontId="10" fillId="0" borderId="27" xfId="0" applyNumberFormat="1" applyFont="1" applyBorder="1" applyAlignment="1" applyProtection="1">
      <alignment horizontal="right" vertical="center"/>
      <protection hidden="1"/>
    </xf>
    <xf numFmtId="0" fontId="11" fillId="0" borderId="0" xfId="0" applyFont="1" applyAlignment="1" applyProtection="1">
      <alignment horizontal="center"/>
      <protection hidden="1"/>
    </xf>
    <xf numFmtId="0" fontId="12" fillId="0" borderId="0" xfId="0" applyFont="1" applyAlignment="1" applyProtection="1">
      <alignment horizontal="center" vertical="center" textRotation="90"/>
      <protection hidden="1"/>
    </xf>
    <xf numFmtId="2" fontId="5" fillId="0" borderId="0" xfId="0" applyNumberFormat="1" applyFont="1" applyAlignment="1" applyProtection="1">
      <alignment horizontal="right"/>
      <protection hidden="1"/>
    </xf>
    <xf numFmtId="0" fontId="14" fillId="2" borderId="12" xfId="0" applyFont="1" applyFill="1" applyBorder="1" applyAlignment="1" applyProtection="1">
      <alignment horizontal="center" vertical="center" wrapText="1"/>
      <protection locked="0" hidden="1"/>
    </xf>
    <xf numFmtId="0" fontId="14" fillId="0" borderId="36" xfId="0" applyFont="1" applyFill="1" applyBorder="1" applyAlignment="1" applyProtection="1">
      <alignment horizontal="center" vertical="center" wrapText="1"/>
      <protection hidden="1"/>
    </xf>
    <xf numFmtId="0" fontId="5" fillId="0" borderId="6" xfId="0" applyFont="1" applyBorder="1" applyAlignment="1" applyProtection="1">
      <alignment vertical="center" wrapText="1"/>
      <protection hidden="1"/>
    </xf>
    <xf numFmtId="2" fontId="5" fillId="0" borderId="37" xfId="0" applyNumberFormat="1" applyFont="1" applyBorder="1" applyAlignment="1" applyProtection="1">
      <alignment vertical="center" wrapText="1"/>
      <protection hidden="1"/>
    </xf>
    <xf numFmtId="166" fontId="5" fillId="0" borderId="38" xfId="0" applyNumberFormat="1" applyFont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vertical="center" wrapText="1"/>
      <protection hidden="1"/>
    </xf>
    <xf numFmtId="0" fontId="5" fillId="0" borderId="39" xfId="0" applyFont="1" applyBorder="1" applyAlignment="1" applyProtection="1">
      <alignment horizontal="center" vertical="center" wrapText="1"/>
      <protection hidden="1"/>
    </xf>
    <xf numFmtId="0" fontId="5" fillId="0" borderId="40" xfId="0" applyFont="1" applyBorder="1" applyAlignment="1" applyProtection="1">
      <alignment vertical="center" wrapText="1"/>
      <protection hidden="1"/>
    </xf>
    <xf numFmtId="2" fontId="5" fillId="0" borderId="41" xfId="0" applyNumberFormat="1" applyFont="1" applyBorder="1" applyAlignment="1" applyProtection="1">
      <alignment horizontal="center" vertical="center" wrapText="1"/>
      <protection hidden="1"/>
    </xf>
    <xf numFmtId="166" fontId="5" fillId="0" borderId="42" xfId="0" applyNumberFormat="1" applyFont="1" applyBorder="1" applyAlignment="1" applyProtection="1">
      <alignment horizontal="center" vertical="center" wrapText="1"/>
      <protection hidden="1"/>
    </xf>
    <xf numFmtId="166" fontId="5" fillId="0" borderId="0" xfId="0" applyNumberFormat="1" applyFont="1" applyBorder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textRotation="90"/>
      <protection locked="0" hidden="1"/>
    </xf>
    <xf numFmtId="2" fontId="5" fillId="2" borderId="14" xfId="0" applyNumberFormat="1" applyFont="1" applyFill="1" applyBorder="1" applyAlignment="1" applyProtection="1">
      <alignment horizontal="center" vertical="center" wrapText="1"/>
      <protection hidden="1"/>
    </xf>
    <xf numFmtId="166" fontId="5" fillId="0" borderId="43" xfId="0" applyNumberFormat="1" applyFont="1" applyBorder="1" applyAlignment="1" applyProtection="1">
      <alignment horizontal="center" vertical="center" wrapText="1"/>
      <protection hidden="1"/>
    </xf>
    <xf numFmtId="166" fontId="5" fillId="0" borderId="19" xfId="0" applyNumberFormat="1" applyFont="1" applyBorder="1" applyAlignment="1" applyProtection="1">
      <alignment horizontal="center" vertical="center" wrapText="1"/>
      <protection hidden="1"/>
    </xf>
    <xf numFmtId="2" fontId="1" fillId="0" borderId="34" xfId="0" applyNumberFormat="1" applyFont="1" applyBorder="1" applyAlignment="1" applyProtection="1">
      <alignment horizontal="right" vertical="center" wrapText="1"/>
      <protection hidden="1"/>
    </xf>
    <xf numFmtId="0" fontId="5" fillId="0" borderId="44" xfId="0" applyFont="1" applyBorder="1" applyAlignment="1" applyProtection="1">
      <alignment vertical="top"/>
      <protection hidden="1"/>
    </xf>
    <xf numFmtId="0" fontId="0" fillId="0" borderId="4" xfId="0" applyBorder="1" applyAlignment="1"/>
    <xf numFmtId="0" fontId="0" fillId="0" borderId="5" xfId="0" applyBorder="1" applyAlignment="1"/>
    <xf numFmtId="0" fontId="0" fillId="0" borderId="30" xfId="0" applyBorder="1" applyAlignment="1"/>
    <xf numFmtId="0" fontId="0" fillId="0" borderId="0" xfId="0" applyAlignment="1"/>
    <xf numFmtId="0" fontId="0" fillId="0" borderId="45" xfId="0" applyBorder="1" applyAlignment="1"/>
    <xf numFmtId="0" fontId="0" fillId="0" borderId="46" xfId="0" applyBorder="1" applyAlignment="1"/>
    <xf numFmtId="0" fontId="0" fillId="0" borderId="47" xfId="0" applyBorder="1" applyAlignment="1"/>
    <xf numFmtId="0" fontId="12" fillId="0" borderId="1" xfId="0" applyFont="1" applyBorder="1" applyAlignment="1" applyProtection="1">
      <alignment horizontal="center" vertical="center" textRotation="90"/>
      <protection hidden="1"/>
    </xf>
    <xf numFmtId="2" fontId="14" fillId="0" borderId="8" xfId="0" applyNumberFormat="1" applyFont="1" applyBorder="1" applyAlignment="1" applyProtection="1">
      <alignment horizontal="right" vertical="center" wrapText="1"/>
      <protection hidden="1"/>
    </xf>
    <xf numFmtId="0" fontId="5" fillId="0" borderId="13" xfId="0" applyFont="1" applyBorder="1" applyAlignment="1" applyProtection="1">
      <alignment vertical="center" wrapText="1"/>
      <protection hidden="1"/>
    </xf>
    <xf numFmtId="2" fontId="5" fillId="0" borderId="48" xfId="0" applyNumberFormat="1" applyFont="1" applyBorder="1" applyAlignment="1" applyProtection="1">
      <alignment vertical="center" wrapText="1"/>
      <protection hidden="1"/>
    </xf>
    <xf numFmtId="2" fontId="5" fillId="0" borderId="21" xfId="0" applyNumberFormat="1" applyFont="1" applyBorder="1" applyAlignment="1" applyProtection="1">
      <alignment vertical="center" wrapText="1"/>
      <protection hidden="1"/>
    </xf>
    <xf numFmtId="2" fontId="5" fillId="0" borderId="49" xfId="0" applyNumberFormat="1" applyFont="1" applyBorder="1" applyAlignment="1" applyProtection="1">
      <alignment vertical="center" wrapText="1"/>
      <protection hidden="1"/>
    </xf>
    <xf numFmtId="166" fontId="5" fillId="0" borderId="50" xfId="0" applyNumberFormat="1" applyFont="1" applyBorder="1" applyAlignment="1" applyProtection="1">
      <alignment horizontal="center" vertical="center" wrapText="1"/>
      <protection hidden="1"/>
    </xf>
    <xf numFmtId="166" fontId="5" fillId="0" borderId="20" xfId="0" applyNumberFormat="1" applyFont="1" applyBorder="1" applyAlignment="1" applyProtection="1">
      <alignment horizontal="center" vertical="center" wrapText="1"/>
      <protection hidden="1"/>
    </xf>
    <xf numFmtId="0" fontId="11" fillId="0" borderId="18" xfId="0" applyFont="1" applyBorder="1" applyAlignment="1" applyProtection="1">
      <alignment vertical="center" textRotation="90" wrapText="1"/>
      <protection hidden="1"/>
    </xf>
    <xf numFmtId="166" fontId="5" fillId="0" borderId="20" xfId="0" applyNumberFormat="1" applyFont="1" applyBorder="1" applyAlignment="1" applyProtection="1">
      <alignment vertical="center" wrapText="1"/>
      <protection hidden="1"/>
    </xf>
    <xf numFmtId="0" fontId="14" fillId="0" borderId="11" xfId="0" applyFont="1" applyBorder="1" applyAlignment="1" applyProtection="1">
      <alignment horizontal="center" vertical="center" textRotation="90" wrapText="1"/>
      <protection hidden="1"/>
    </xf>
    <xf numFmtId="0" fontId="8" fillId="2" borderId="51" xfId="0" applyFont="1" applyFill="1" applyBorder="1" applyAlignment="1" applyProtection="1">
      <alignment vertical="center" wrapText="1"/>
      <protection locked="0" hidden="1"/>
    </xf>
    <xf numFmtId="0" fontId="11" fillId="0" borderId="11" xfId="0" applyFont="1" applyBorder="1" applyAlignment="1" applyProtection="1">
      <alignment horizontal="center" vertical="center" textRotation="90" wrapText="1"/>
      <protection locked="0" hidden="1"/>
    </xf>
    <xf numFmtId="2" fontId="5" fillId="0" borderId="14" xfId="0" applyNumberFormat="1" applyFont="1" applyBorder="1" applyAlignment="1" applyProtection="1">
      <alignment horizontal="center" vertical="center" wrapText="1"/>
      <protection hidden="1"/>
    </xf>
    <xf numFmtId="0" fontId="6" fillId="0" borderId="11" xfId="0" applyFont="1" applyBorder="1" applyAlignment="1" applyProtection="1">
      <alignment horizontal="center" vertical="center" textRotation="90" wrapText="1"/>
      <protection hidden="1"/>
    </xf>
    <xf numFmtId="0" fontId="1" fillId="0" borderId="2" xfId="0" applyFont="1" applyBorder="1" applyAlignment="1" applyProtection="1">
      <alignment horizontal="center" vertical="center" textRotation="90"/>
      <protection hidden="1"/>
    </xf>
    <xf numFmtId="2" fontId="10" fillId="0" borderId="34" xfId="0" applyNumberFormat="1" applyFont="1" applyBorder="1" applyAlignment="1" applyProtection="1">
      <alignment horizontal="center" vertical="center"/>
      <protection hidden="1"/>
    </xf>
    <xf numFmtId="0" fontId="1" fillId="0" borderId="0" xfId="0" applyFont="1" applyBorder="1" applyProtection="1">
      <protection hidden="1"/>
    </xf>
    <xf numFmtId="0" fontId="5" fillId="0" borderId="0" xfId="0" applyFont="1" applyBorder="1" applyProtection="1"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1" fillId="0" borderId="2" xfId="0" applyFont="1" applyBorder="1" applyAlignment="1" applyProtection="1">
      <alignment horizontal="center" vertical="center" textRotation="90" wrapText="1"/>
      <protection hidden="1"/>
    </xf>
    <xf numFmtId="0" fontId="5" fillId="0" borderId="4" xfId="0" applyFont="1" applyBorder="1" applyAlignment="1" applyProtection="1">
      <alignment vertical="top"/>
      <protection hidden="1"/>
    </xf>
    <xf numFmtId="0" fontId="5" fillId="0" borderId="5" xfId="0" applyFont="1" applyBorder="1" applyAlignment="1" applyProtection="1">
      <alignment vertical="top"/>
      <protection hidden="1"/>
    </xf>
    <xf numFmtId="0" fontId="5" fillId="0" borderId="30" xfId="0" applyFont="1" applyBorder="1" applyAlignment="1" applyProtection="1">
      <alignment vertical="top"/>
      <protection hidden="1"/>
    </xf>
    <xf numFmtId="0" fontId="5" fillId="0" borderId="0" xfId="0" applyFont="1" applyBorder="1" applyAlignment="1" applyProtection="1">
      <alignment vertical="top"/>
      <protection hidden="1"/>
    </xf>
    <xf numFmtId="0" fontId="5" fillId="0" borderId="45" xfId="0" applyFont="1" applyBorder="1" applyAlignment="1" applyProtection="1">
      <alignment vertical="top"/>
      <protection hidden="1"/>
    </xf>
    <xf numFmtId="0" fontId="5" fillId="0" borderId="46" xfId="0" applyFont="1" applyBorder="1" applyAlignment="1" applyProtection="1">
      <alignment vertical="top"/>
      <protection hidden="1"/>
    </xf>
    <xf numFmtId="0" fontId="5" fillId="0" borderId="47" xfId="0" applyFont="1" applyBorder="1" applyAlignment="1" applyProtection="1">
      <alignment vertical="top"/>
      <protection hidden="1"/>
    </xf>
    <xf numFmtId="0" fontId="5" fillId="0" borderId="35" xfId="0" applyFont="1" applyBorder="1" applyAlignment="1" applyProtection="1">
      <alignment vertical="top"/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2" fontId="5" fillId="0" borderId="0" xfId="0" applyNumberFormat="1" applyFont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/>
      <protection hidden="1"/>
    </xf>
    <xf numFmtId="2" fontId="1" fillId="0" borderId="0" xfId="0" applyNumberFormat="1" applyFont="1" applyProtection="1">
      <protection hidden="1"/>
    </xf>
    <xf numFmtId="2" fontId="5" fillId="0" borderId="18" xfId="0" applyNumberFormat="1" applyFont="1" applyBorder="1" applyAlignment="1" applyProtection="1">
      <alignment vertical="center" wrapText="1"/>
      <protection hidden="1"/>
    </xf>
    <xf numFmtId="0" fontId="5" fillId="0" borderId="18" xfId="0" applyFont="1" applyBorder="1" applyAlignment="1" applyProtection="1">
      <alignment horizontal="center" vertical="center"/>
      <protection hidden="1"/>
    </xf>
    <xf numFmtId="2" fontId="5" fillId="0" borderId="18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52" xfId="0" applyFont="1" applyFill="1" applyBorder="1" applyAlignment="1" applyProtection="1">
      <alignment vertical="center" wrapText="1"/>
      <protection hidden="1"/>
    </xf>
    <xf numFmtId="0" fontId="5" fillId="0" borderId="0" xfId="0" applyFont="1" applyFill="1" applyAlignment="1" applyProtection="1">
      <alignment vertical="center" wrapText="1"/>
      <protection hidden="1"/>
    </xf>
    <xf numFmtId="0" fontId="6" fillId="0" borderId="0" xfId="0" applyFont="1" applyFill="1" applyAlignment="1" applyProtection="1">
      <alignment horizontal="center" vertical="center" wrapText="1"/>
      <protection hidden="1"/>
    </xf>
    <xf numFmtId="0" fontId="5" fillId="0" borderId="53" xfId="0" applyFont="1" applyFill="1" applyBorder="1" applyAlignment="1" applyProtection="1">
      <alignment vertical="center" wrapText="1"/>
      <protection hidden="1"/>
    </xf>
    <xf numFmtId="0" fontId="5" fillId="0" borderId="11" xfId="0" applyFont="1" applyFill="1" applyBorder="1" applyAlignment="1" applyProtection="1">
      <alignment horizontal="center" vertical="center" wrapText="1"/>
      <protection hidden="1"/>
    </xf>
    <xf numFmtId="0" fontId="5" fillId="0" borderId="54" xfId="0" applyFont="1" applyFill="1" applyBorder="1" applyAlignment="1" applyProtection="1">
      <alignment vertical="center" wrapText="1"/>
      <protection hidden="1"/>
    </xf>
    <xf numFmtId="0" fontId="5" fillId="0" borderId="11" xfId="0" applyFont="1" applyBorder="1" applyAlignment="1" applyProtection="1">
      <alignment horizontal="center"/>
      <protection hidden="1"/>
    </xf>
    <xf numFmtId="0" fontId="6" fillId="0" borderId="16" xfId="0" applyFont="1" applyFill="1" applyBorder="1" applyAlignment="1" applyProtection="1">
      <alignment horizontal="center" vertical="center" wrapText="1"/>
      <protection hidden="1"/>
    </xf>
    <xf numFmtId="2" fontId="10" fillId="0" borderId="34" xfId="0" applyNumberFormat="1" applyFont="1" applyBorder="1" applyAlignment="1" applyProtection="1">
      <alignment horizontal="right" vertical="center"/>
      <protection hidden="1"/>
    </xf>
    <xf numFmtId="0" fontId="5" fillId="0" borderId="0" xfId="0" applyFont="1" applyFill="1" applyAlignment="1" applyProtection="1">
      <alignment horizontal="center" vertical="center" wrapText="1"/>
      <protection hidden="1"/>
    </xf>
    <xf numFmtId="0" fontId="5" fillId="0" borderId="55" xfId="0" applyFont="1" applyBorder="1" applyAlignment="1" applyProtection="1">
      <alignment horizontal="left" vertical="center"/>
      <protection hidden="1"/>
    </xf>
    <xf numFmtId="0" fontId="5" fillId="0" borderId="26" xfId="0" applyFont="1" applyBorder="1" applyAlignment="1" applyProtection="1">
      <alignment horizontal="left" vertical="center"/>
      <protection hidden="1"/>
    </xf>
    <xf numFmtId="0" fontId="5" fillId="0" borderId="24" xfId="0" applyFont="1" applyBorder="1" applyAlignment="1" applyProtection="1">
      <alignment horizontal="center" vertical="center"/>
      <protection hidden="1"/>
    </xf>
    <xf numFmtId="0" fontId="5" fillId="0" borderId="46" xfId="0" applyFont="1" applyBorder="1" applyAlignment="1" applyProtection="1">
      <protection hidden="1"/>
    </xf>
    <xf numFmtId="0" fontId="5" fillId="0" borderId="47" xfId="0" applyFont="1" applyBorder="1" applyAlignment="1" applyProtection="1">
      <protection hidden="1"/>
    </xf>
    <xf numFmtId="0" fontId="5" fillId="0" borderId="35" xfId="0" applyFont="1" applyBorder="1" applyAlignment="1" applyProtection="1">
      <protection hidden="1"/>
    </xf>
    <xf numFmtId="2" fontId="5" fillId="2" borderId="12" xfId="0" applyNumberFormat="1" applyFont="1" applyFill="1" applyBorder="1" applyAlignment="1" applyProtection="1">
      <alignment horizontal="center" vertical="center" wrapText="1"/>
      <protection locked="0" hidden="1"/>
    </xf>
    <xf numFmtId="166" fontId="5" fillId="0" borderId="56" xfId="0" applyNumberFormat="1" applyFont="1" applyBorder="1" applyAlignment="1" applyProtection="1">
      <alignment horizontal="center" vertical="center" wrapText="1"/>
      <protection hidden="1"/>
    </xf>
    <xf numFmtId="14" fontId="4" fillId="0" borderId="18" xfId="0" applyNumberFormat="1" applyFont="1" applyBorder="1" applyAlignment="1" applyProtection="1">
      <alignment horizontal="center" vertical="center"/>
      <protection locked="0" hidden="1"/>
    </xf>
    <xf numFmtId="0" fontId="4" fillId="0" borderId="18" xfId="0" applyFont="1" applyBorder="1" applyAlignment="1" applyProtection="1">
      <alignment horizontal="center" vertical="center"/>
      <protection locked="0" hidden="1"/>
    </xf>
    <xf numFmtId="2" fontId="5" fillId="2" borderId="21" xfId="0" applyNumberFormat="1" applyFont="1" applyFill="1" applyBorder="1" applyAlignment="1" applyProtection="1">
      <alignment horizontal="center" vertical="center" wrapText="1"/>
      <protection locked="0" hidden="1"/>
    </xf>
    <xf numFmtId="166" fontId="5" fillId="0" borderId="31" xfId="0" applyNumberFormat="1" applyFont="1" applyBorder="1" applyAlignment="1" applyProtection="1">
      <alignment horizontal="center" vertical="center" wrapText="1"/>
      <protection hidden="1"/>
    </xf>
    <xf numFmtId="166" fontId="5" fillId="0" borderId="23" xfId="0" applyNumberFormat="1" applyFont="1" applyBorder="1" applyAlignment="1" applyProtection="1">
      <alignment horizontal="center" vertical="center" wrapText="1"/>
      <protection hidden="1"/>
    </xf>
    <xf numFmtId="2" fontId="5" fillId="0" borderId="48" xfId="0" applyNumberFormat="1" applyFont="1" applyBorder="1" applyAlignment="1" applyProtection="1">
      <alignment horizontal="center" vertical="center" wrapText="1"/>
      <protection hidden="1"/>
    </xf>
    <xf numFmtId="0" fontId="6" fillId="0" borderId="57" xfId="0" applyFont="1" applyBorder="1" applyAlignment="1" applyProtection="1">
      <alignment horizontal="left"/>
      <protection hidden="1"/>
    </xf>
    <xf numFmtId="0" fontId="6" fillId="0" borderId="58" xfId="0" applyFont="1" applyBorder="1" applyAlignment="1" applyProtection="1">
      <alignment horizontal="left"/>
      <protection hidden="1"/>
    </xf>
    <xf numFmtId="0" fontId="6" fillId="0" borderId="39" xfId="0" applyFont="1" applyBorder="1" applyAlignment="1" applyProtection="1">
      <alignment horizontal="left"/>
      <protection hidden="1"/>
    </xf>
    <xf numFmtId="0" fontId="12" fillId="0" borderId="33" xfId="0" applyFont="1" applyBorder="1" applyAlignment="1" applyProtection="1">
      <alignment horizontal="center" vertical="center" textRotation="90" wrapText="1"/>
      <protection hidden="1"/>
    </xf>
    <xf numFmtId="2" fontId="5" fillId="2" borderId="59" xfId="0" applyNumberFormat="1" applyFont="1" applyFill="1" applyBorder="1" applyAlignment="1" applyProtection="1">
      <alignment horizontal="center" vertical="center" wrapText="1"/>
      <protection locked="0" hidden="1"/>
    </xf>
    <xf numFmtId="2" fontId="5" fillId="0" borderId="38" xfId="0" applyNumberFormat="1" applyFont="1" applyBorder="1" applyAlignment="1" applyProtection="1">
      <alignment horizontal="center" vertical="center" wrapText="1"/>
      <protection hidden="1"/>
    </xf>
    <xf numFmtId="2" fontId="5" fillId="0" borderId="21" xfId="0" applyNumberFormat="1" applyFont="1" applyBorder="1" applyAlignment="1" applyProtection="1">
      <alignment horizontal="right" vertical="center" wrapText="1"/>
      <protection hidden="1"/>
    </xf>
    <xf numFmtId="0" fontId="14" fillId="0" borderId="7" xfId="0" applyFont="1" applyBorder="1" applyAlignment="1" applyProtection="1">
      <alignment horizontal="center" vertical="center" wrapText="1"/>
      <protection hidden="1"/>
    </xf>
    <xf numFmtId="0" fontId="13" fillId="0" borderId="6" xfId="0" applyFont="1" applyBorder="1" applyAlignment="1" applyProtection="1">
      <alignment horizontal="center" vertical="center" wrapText="1"/>
      <protection hidden="1"/>
    </xf>
    <xf numFmtId="0" fontId="5" fillId="0" borderId="46" xfId="0" applyFont="1" applyBorder="1" applyAlignment="1" applyProtection="1">
      <alignment vertical="top" wrapText="1"/>
      <protection hidden="1"/>
    </xf>
    <xf numFmtId="0" fontId="5" fillId="0" borderId="47" xfId="0" applyFont="1" applyBorder="1" applyAlignment="1" applyProtection="1">
      <alignment vertical="top" wrapText="1"/>
      <protection hidden="1"/>
    </xf>
    <xf numFmtId="0" fontId="20" fillId="0" borderId="0" xfId="0" applyFont="1" applyAlignment="1" applyProtection="1">
      <alignment horizontal="center"/>
      <protection hidden="1"/>
    </xf>
    <xf numFmtId="0" fontId="20" fillId="0" borderId="0" xfId="0" applyFont="1" applyProtection="1"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2" fontId="6" fillId="0" borderId="0" xfId="0" applyNumberFormat="1" applyFont="1" applyBorder="1" applyAlignment="1" applyProtection="1">
      <alignment horizontal="center" vertical="center"/>
      <protection hidden="1"/>
    </xf>
    <xf numFmtId="0" fontId="20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right" vertical="center"/>
      <protection hidden="1"/>
    </xf>
    <xf numFmtId="0" fontId="5" fillId="0" borderId="0" xfId="0" applyFont="1" applyBorder="1" applyAlignment="1" applyProtection="1">
      <alignment vertical="center" wrapText="1"/>
      <protection hidden="1"/>
    </xf>
    <xf numFmtId="2" fontId="2" fillId="0" borderId="0" xfId="0" applyNumberFormat="1" applyFont="1" applyBorder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right" vertical="center" wrapText="1"/>
      <protection hidden="1"/>
    </xf>
    <xf numFmtId="0" fontId="20" fillId="0" borderId="0" xfId="0" applyFont="1" applyAlignment="1" applyProtection="1">
      <alignment horizontal="center" vertical="center" wrapText="1"/>
      <protection hidden="1"/>
    </xf>
    <xf numFmtId="166" fontId="5" fillId="0" borderId="16" xfId="0" applyNumberFormat="1" applyFont="1" applyFill="1" applyBorder="1" applyAlignment="1" applyProtection="1">
      <alignment horizontal="center" vertical="center" wrapText="1"/>
      <protection hidden="1"/>
    </xf>
    <xf numFmtId="2" fontId="5" fillId="0" borderId="0" xfId="0" applyNumberFormat="1" applyFont="1" applyFill="1" applyBorder="1" applyAlignment="1" applyProtection="1">
      <alignment horizontal="center" vertical="center" wrapText="1"/>
      <protection locked="0" hidden="1"/>
    </xf>
    <xf numFmtId="2" fontId="8" fillId="2" borderId="24" xfId="0" applyNumberFormat="1" applyFont="1" applyFill="1" applyBorder="1" applyAlignment="1" applyProtection="1">
      <alignment horizontal="right" vertical="center" wrapText="1"/>
      <protection locked="0" hidden="1"/>
    </xf>
    <xf numFmtId="2" fontId="8" fillId="2" borderId="15" xfId="0" applyNumberFormat="1" applyFont="1" applyFill="1" applyBorder="1" applyAlignment="1" applyProtection="1">
      <alignment horizontal="right" vertical="center" wrapText="1"/>
      <protection locked="0" hidden="1"/>
    </xf>
    <xf numFmtId="0" fontId="5" fillId="0" borderId="0" xfId="0" applyFont="1" applyFill="1" applyAlignment="1" applyProtection="1">
      <alignment horizontal="center"/>
      <protection hidden="1"/>
    </xf>
    <xf numFmtId="0" fontId="5" fillId="0" borderId="0" xfId="0" applyFont="1" applyFill="1" applyProtection="1">
      <protection hidden="1"/>
    </xf>
    <xf numFmtId="165" fontId="5" fillId="0" borderId="19" xfId="0" applyNumberFormat="1" applyFont="1" applyBorder="1" applyAlignment="1" applyProtection="1">
      <alignment horizontal="center" vertical="center" wrapText="1"/>
      <protection hidden="1"/>
    </xf>
    <xf numFmtId="2" fontId="1" fillId="0" borderId="0" xfId="0" applyNumberFormat="1" applyFont="1" applyBorder="1" applyAlignment="1" applyProtection="1">
      <alignment horizontal="center" vertical="center" wrapText="1"/>
      <protection hidden="1"/>
    </xf>
    <xf numFmtId="2" fontId="10" fillId="0" borderId="0" xfId="0" applyNumberFormat="1" applyFont="1" applyBorder="1" applyAlignment="1" applyProtection="1">
      <alignment horizontal="center" vertical="center"/>
      <protection hidden="1"/>
    </xf>
    <xf numFmtId="0" fontId="5" fillId="0" borderId="0" xfId="0" applyFont="1" applyBorder="1" applyAlignment="1" applyProtection="1">
      <protection hidden="1"/>
    </xf>
    <xf numFmtId="2" fontId="5" fillId="0" borderId="0" xfId="0" applyNumberFormat="1" applyFont="1" applyBorder="1" applyAlignment="1" applyProtection="1">
      <protection hidden="1"/>
    </xf>
    <xf numFmtId="2" fontId="5" fillId="0" borderId="0" xfId="0" applyNumberFormat="1" applyFont="1" applyBorder="1" applyProtection="1">
      <protection hidden="1"/>
    </xf>
    <xf numFmtId="2" fontId="1" fillId="0" borderId="2" xfId="0" applyNumberFormat="1" applyFont="1" applyBorder="1" applyAlignment="1" applyProtection="1">
      <alignment horizontal="center" vertical="center" textRotation="90"/>
      <protection hidden="1"/>
    </xf>
    <xf numFmtId="0" fontId="5" fillId="0" borderId="0" xfId="0" applyFont="1" applyBorder="1" applyAlignment="1" applyProtection="1">
      <alignment horizontal="center" vertical="center" wrapText="1"/>
      <protection hidden="1"/>
    </xf>
    <xf numFmtId="2" fontId="5" fillId="0" borderId="0" xfId="0" applyNumberFormat="1" applyFont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horizontal="center" vertical="center" wrapText="1"/>
      <protection hidden="1"/>
    </xf>
    <xf numFmtId="2" fontId="5" fillId="0" borderId="0" xfId="0" applyNumberFormat="1" applyFont="1" applyBorder="1" applyAlignment="1" applyProtection="1">
      <alignment vertical="center" wrapText="1"/>
      <protection hidden="1"/>
    </xf>
    <xf numFmtId="0" fontId="5" fillId="0" borderId="0" xfId="0" applyFont="1" applyBorder="1" applyAlignment="1" applyProtection="1">
      <alignment horizontal="center" vertical="center"/>
      <protection hidden="1"/>
    </xf>
    <xf numFmtId="164" fontId="5" fillId="0" borderId="0" xfId="0" applyNumberFormat="1" applyFont="1" applyBorder="1" applyAlignment="1" applyProtection="1">
      <alignment vertical="center" wrapText="1"/>
      <protection hidden="1"/>
    </xf>
    <xf numFmtId="2" fontId="5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horizontal="center"/>
      <protection hidden="1"/>
    </xf>
    <xf numFmtId="0" fontId="5" fillId="0" borderId="0" xfId="0" applyFont="1" applyFill="1" applyBorder="1" applyProtection="1">
      <protection hidden="1"/>
    </xf>
    <xf numFmtId="2" fontId="5" fillId="2" borderId="59" xfId="0" applyNumberFormat="1" applyFont="1" applyFill="1" applyBorder="1" applyAlignment="1" applyProtection="1">
      <alignment vertical="center" wrapText="1"/>
      <protection locked="0" hidden="1"/>
    </xf>
    <xf numFmtId="2" fontId="5" fillId="2" borderId="12" xfId="0" applyNumberFormat="1" applyFont="1" applyFill="1" applyBorder="1" applyAlignment="1" applyProtection="1">
      <alignment vertical="center" wrapText="1"/>
      <protection locked="0" hidden="1"/>
    </xf>
    <xf numFmtId="2" fontId="5" fillId="0" borderId="0" xfId="0" applyNumberFormat="1" applyFont="1" applyFill="1" applyAlignment="1" applyProtection="1">
      <alignment vertical="center" wrapText="1"/>
      <protection hidden="1"/>
    </xf>
    <xf numFmtId="2" fontId="5" fillId="2" borderId="12" xfId="0" applyNumberFormat="1" applyFont="1" applyFill="1" applyBorder="1" applyProtection="1">
      <protection locked="0" hidden="1"/>
    </xf>
    <xf numFmtId="2" fontId="5" fillId="2" borderId="14" xfId="0" applyNumberFormat="1" applyFont="1" applyFill="1" applyBorder="1" applyProtection="1">
      <protection locked="0" hidden="1"/>
    </xf>
    <xf numFmtId="0" fontId="2" fillId="0" borderId="28" xfId="0" applyFont="1" applyBorder="1" applyAlignment="1" applyProtection="1">
      <alignment horizontal="center" vertical="center" textRotation="90"/>
      <protection hidden="1"/>
    </xf>
    <xf numFmtId="165" fontId="5" fillId="0" borderId="0" xfId="0" applyNumberFormat="1" applyFont="1" applyBorder="1" applyAlignment="1" applyProtection="1">
      <alignment vertical="center" wrapText="1"/>
      <protection hidden="1"/>
    </xf>
    <xf numFmtId="2" fontId="5" fillId="0" borderId="12" xfId="0" applyNumberFormat="1" applyFont="1" applyFill="1" applyBorder="1" applyAlignment="1" applyProtection="1">
      <alignment horizontal="center" vertical="center" wrapText="1"/>
      <protection hidden="1"/>
    </xf>
    <xf numFmtId="2" fontId="5" fillId="0" borderId="0" xfId="0" applyNumberFormat="1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/>
      <protection hidden="1"/>
    </xf>
    <xf numFmtId="2" fontId="5" fillId="0" borderId="34" xfId="0" applyNumberFormat="1" applyFont="1" applyBorder="1" applyAlignment="1" applyProtection="1">
      <alignment horizontal="right" vertical="center" wrapText="1"/>
      <protection hidden="1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0" fillId="0" borderId="30" xfId="0" applyBorder="1" applyAlignment="1" applyProtection="1"/>
    <xf numFmtId="0" fontId="0" fillId="0" borderId="0" xfId="0" applyAlignment="1" applyProtection="1"/>
    <xf numFmtId="0" fontId="0" fillId="0" borderId="45" xfId="0" applyBorder="1" applyAlignment="1" applyProtection="1"/>
    <xf numFmtId="0" fontId="25" fillId="0" borderId="0" xfId="0" applyFont="1" applyAlignment="1" applyProtection="1">
      <alignment vertical="center" wrapText="1"/>
      <protection hidden="1"/>
    </xf>
    <xf numFmtId="0" fontId="26" fillId="0" borderId="0" xfId="0" applyFont="1" applyAlignment="1" applyProtection="1"/>
    <xf numFmtId="0" fontId="0" fillId="0" borderId="46" xfId="0" applyBorder="1" applyAlignment="1" applyProtection="1"/>
    <xf numFmtId="0" fontId="0" fillId="0" borderId="47" xfId="0" applyBorder="1" applyAlignment="1" applyProtection="1"/>
    <xf numFmtId="0" fontId="0" fillId="0" borderId="35" xfId="0" applyBorder="1" applyAlignment="1" applyProtection="1"/>
    <xf numFmtId="0" fontId="8" fillId="0" borderId="43" xfId="0" applyFont="1" applyBorder="1" applyAlignment="1" applyProtection="1">
      <alignment vertical="center" wrapText="1"/>
      <protection hidden="1"/>
    </xf>
    <xf numFmtId="0" fontId="8" fillId="2" borderId="60" xfId="0" applyFont="1" applyFill="1" applyBorder="1" applyAlignment="1" applyProtection="1">
      <alignment vertical="center" wrapText="1"/>
      <protection locked="0" hidden="1"/>
    </xf>
    <xf numFmtId="2" fontId="5" fillId="0" borderId="57" xfId="0" applyNumberFormat="1" applyFont="1" applyBorder="1" applyAlignment="1" applyProtection="1">
      <alignment vertical="center" wrapText="1"/>
      <protection hidden="1"/>
    </xf>
    <xf numFmtId="2" fontId="1" fillId="0" borderId="34" xfId="0" applyNumberFormat="1" applyFont="1" applyBorder="1" applyAlignment="1" applyProtection="1">
      <alignment horizontal="center" vertical="center" wrapText="1"/>
      <protection hidden="1"/>
    </xf>
    <xf numFmtId="0" fontId="0" fillId="2" borderId="5" xfId="0" applyFill="1" applyBorder="1" applyAlignment="1" applyProtection="1">
      <alignment horizontal="center"/>
      <protection locked="0" hidden="1"/>
    </xf>
    <xf numFmtId="2" fontId="5" fillId="0" borderId="0" xfId="0" applyNumberFormat="1" applyFont="1" applyAlignment="1" applyProtection="1">
      <alignment horizontal="center"/>
      <protection hidden="1"/>
    </xf>
    <xf numFmtId="2" fontId="5" fillId="0" borderId="14" xfId="0" applyNumberFormat="1" applyFont="1" applyBorder="1" applyAlignment="1" applyProtection="1">
      <alignment vertical="center" wrapText="1"/>
      <protection hidden="1"/>
    </xf>
    <xf numFmtId="2" fontId="1" fillId="0" borderId="61" xfId="0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/>
    <xf numFmtId="2" fontId="19" fillId="2" borderId="45" xfId="0" applyNumberFormat="1" applyFont="1" applyFill="1" applyBorder="1" applyAlignment="1" applyProtection="1">
      <protection locked="0" hidden="1"/>
    </xf>
    <xf numFmtId="0" fontId="26" fillId="0" borderId="0" xfId="0" applyFont="1" applyAlignment="1"/>
    <xf numFmtId="166" fontId="23" fillId="0" borderId="0" xfId="0" applyNumberFormat="1" applyFont="1" applyAlignment="1"/>
    <xf numFmtId="166" fontId="0" fillId="0" borderId="45" xfId="0" applyNumberFormat="1" applyBorder="1" applyAlignment="1"/>
    <xf numFmtId="0" fontId="0" fillId="0" borderId="0" xfId="0" applyBorder="1"/>
    <xf numFmtId="0" fontId="24" fillId="0" borderId="0" xfId="0" applyFont="1" applyBorder="1" applyAlignment="1" applyProtection="1">
      <alignment horizontal="center" vertical="center"/>
      <protection hidden="1"/>
    </xf>
    <xf numFmtId="0" fontId="0" fillId="0" borderId="0" xfId="0" applyBorder="1" applyAlignment="1" applyProtection="1"/>
    <xf numFmtId="0" fontId="22" fillId="0" borderId="45" xfId="0" applyFont="1" applyBorder="1" applyAlignment="1" applyProtection="1">
      <alignment horizontal="center"/>
    </xf>
    <xf numFmtId="0" fontId="0" fillId="0" borderId="35" xfId="0" applyBorder="1" applyAlignment="1" applyProtection="1">
      <alignment horizontal="center"/>
    </xf>
    <xf numFmtId="0" fontId="15" fillId="0" borderId="0" xfId="0" applyFont="1" applyAlignment="1" applyProtection="1">
      <alignment horizontal="right"/>
      <protection hidden="1"/>
    </xf>
    <xf numFmtId="0" fontId="15" fillId="0" borderId="0" xfId="0" applyFont="1" applyAlignment="1" applyProtection="1">
      <alignment horizontal="center"/>
      <protection locked="0" hidden="1"/>
    </xf>
    <xf numFmtId="0" fontId="15" fillId="0" borderId="0" xfId="0" applyFont="1" applyAlignment="1" applyProtection="1">
      <alignment horizontal="center" vertical="center"/>
      <protection locked="0" hidden="1"/>
    </xf>
    <xf numFmtId="0" fontId="15" fillId="0" borderId="0" xfId="0" applyFont="1" applyAlignment="1" applyProtection="1">
      <alignment horizontal="center" vertical="center" wrapText="1"/>
      <protection locked="0" hidden="1"/>
    </xf>
    <xf numFmtId="0" fontId="5" fillId="0" borderId="0" xfId="0" applyFont="1" applyAlignment="1" applyProtection="1">
      <alignment horizontal="center" vertical="center" wrapText="1"/>
      <protection locked="0" hidden="1"/>
    </xf>
    <xf numFmtId="0" fontId="2" fillId="0" borderId="11" xfId="0" applyFont="1" applyBorder="1" applyAlignment="1" applyProtection="1">
      <alignment horizontal="center" vertical="center" textRotation="90" wrapText="1"/>
      <protection locked="0"/>
    </xf>
    <xf numFmtId="0" fontId="17" fillId="3" borderId="0" xfId="0" applyFont="1" applyFill="1" applyAlignment="1">
      <alignment horizontal="center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18" xfId="0" applyFont="1" applyBorder="1" applyAlignment="1" applyProtection="1">
      <alignment horizontal="center"/>
      <protection locked="0" hidden="1"/>
    </xf>
    <xf numFmtId="0" fontId="5" fillId="0" borderId="56" xfId="0" applyFont="1" applyBorder="1" applyAlignment="1" applyProtection="1">
      <alignment horizontal="center"/>
      <protection locked="0" hidden="1"/>
    </xf>
    <xf numFmtId="0" fontId="14" fillId="0" borderId="11" xfId="0" applyFont="1" applyBorder="1" applyAlignment="1" applyProtection="1">
      <alignment horizontal="center" vertical="center" textRotation="90" wrapText="1"/>
      <protection locked="0" hidden="1"/>
    </xf>
    <xf numFmtId="0" fontId="0" fillId="3" borderId="0" xfId="0" applyFill="1"/>
    <xf numFmtId="0" fontId="1" fillId="0" borderId="2" xfId="0" applyFont="1" applyBorder="1" applyAlignment="1" applyProtection="1">
      <alignment horizontal="center" vertical="center" textRotation="90"/>
      <protection locked="0" hidden="1"/>
    </xf>
    <xf numFmtId="0" fontId="29" fillId="0" borderId="0" xfId="0" applyFont="1" applyAlignment="1">
      <alignment horizontal="center" vertical="center" wrapText="1"/>
    </xf>
    <xf numFmtId="0" fontId="30" fillId="0" borderId="0" xfId="0" applyFont="1" applyAlignment="1">
      <alignment wrapText="1"/>
    </xf>
    <xf numFmtId="0" fontId="4" fillId="0" borderId="69" xfId="0" applyFont="1" applyBorder="1" applyAlignment="1" applyProtection="1">
      <alignment vertical="center"/>
      <protection hidden="1"/>
    </xf>
    <xf numFmtId="0" fontId="4" fillId="0" borderId="11" xfId="0" applyFont="1" applyBorder="1" applyAlignment="1" applyProtection="1">
      <alignment horizontal="left" vertical="center"/>
      <protection locked="0" hidden="1"/>
    </xf>
    <xf numFmtId="0" fontId="5" fillId="4" borderId="0" xfId="0" applyFont="1" applyFill="1" applyBorder="1" applyAlignment="1" applyProtection="1">
      <alignment vertical="center" wrapText="1"/>
      <protection hidden="1"/>
    </xf>
    <xf numFmtId="0" fontId="5" fillId="4" borderId="0" xfId="0" applyFont="1" applyFill="1" applyAlignment="1" applyProtection="1">
      <alignment vertical="center" wrapText="1"/>
      <protection hidden="1"/>
    </xf>
    <xf numFmtId="166" fontId="5" fillId="4" borderId="0" xfId="0" applyNumberFormat="1" applyFont="1" applyFill="1" applyBorder="1" applyAlignment="1" applyProtection="1">
      <alignment horizontal="center" vertical="center" wrapText="1"/>
      <protection hidden="1"/>
    </xf>
    <xf numFmtId="0" fontId="5" fillId="4" borderId="0" xfId="0" applyFont="1" applyFill="1" applyAlignment="1" applyProtection="1">
      <alignment horizontal="center"/>
      <protection hidden="1"/>
    </xf>
    <xf numFmtId="0" fontId="5" fillId="4" borderId="0" xfId="0" applyFont="1" applyFill="1" applyBorder="1" applyProtection="1">
      <protection hidden="1"/>
    </xf>
    <xf numFmtId="0" fontId="5" fillId="4" borderId="0" xfId="0" applyFont="1" applyFill="1" applyBorder="1" applyAlignment="1" applyProtection="1">
      <alignment horizontal="center"/>
      <protection hidden="1"/>
    </xf>
    <xf numFmtId="0" fontId="5" fillId="4" borderId="0" xfId="0" applyFont="1" applyFill="1" applyAlignment="1" applyProtection="1">
      <alignment horizontal="center" vertical="center" wrapText="1"/>
      <protection hidden="1"/>
    </xf>
    <xf numFmtId="0" fontId="5" fillId="4" borderId="0" xfId="0" applyFont="1" applyFill="1" applyBorder="1" applyAlignment="1" applyProtection="1">
      <alignment horizontal="center" vertical="center" wrapText="1"/>
      <protection hidden="1"/>
    </xf>
    <xf numFmtId="0" fontId="5" fillId="5" borderId="0" xfId="0" applyFont="1" applyFill="1" applyBorder="1" applyAlignment="1" applyProtection="1">
      <alignment vertical="center" wrapText="1"/>
      <protection hidden="1"/>
    </xf>
    <xf numFmtId="0" fontId="5" fillId="4" borderId="0" xfId="0" applyFont="1" applyFill="1" applyProtection="1">
      <protection hidden="1"/>
    </xf>
    <xf numFmtId="0" fontId="5" fillId="0" borderId="0" xfId="0" applyFont="1" applyBorder="1" applyAlignment="1" applyProtection="1">
      <alignment horizontal="center" vertical="center"/>
      <protection hidden="1"/>
    </xf>
    <xf numFmtId="0" fontId="5" fillId="0" borderId="13" xfId="0" applyFont="1" applyBorder="1" applyAlignment="1" applyProtection="1">
      <alignment horizontal="center" vertical="center" wrapText="1"/>
      <protection hidden="1"/>
    </xf>
    <xf numFmtId="0" fontId="5" fillId="0" borderId="6" xfId="0" applyFont="1" applyBorder="1" applyAlignment="1" applyProtection="1">
      <alignment horizontal="center" vertical="center" wrapText="1"/>
      <protection hidden="1"/>
    </xf>
    <xf numFmtId="2" fontId="5" fillId="0" borderId="0" xfId="0" applyNumberFormat="1" applyFont="1" applyBorder="1" applyAlignment="1" applyProtection="1">
      <alignment horizontal="center" vertical="center" wrapText="1"/>
      <protection hidden="1"/>
    </xf>
    <xf numFmtId="0" fontId="5" fillId="0" borderId="0" xfId="0" applyFont="1" applyBorder="1" applyAlignment="1" applyProtection="1">
      <alignment horizontal="center" vertical="center" wrapText="1"/>
      <protection hidden="1"/>
    </xf>
    <xf numFmtId="166" fontId="5" fillId="0" borderId="0" xfId="0" applyNumberFormat="1" applyFont="1" applyBorder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center"/>
      <protection hidden="1"/>
    </xf>
    <xf numFmtId="0" fontId="6" fillId="0" borderId="28" xfId="0" applyFont="1" applyBorder="1" applyAlignment="1" applyProtection="1">
      <alignment horizontal="center" vertical="center"/>
      <protection hidden="1"/>
    </xf>
    <xf numFmtId="0" fontId="14" fillId="0" borderId="18" xfId="0" applyFont="1" applyBorder="1" applyAlignment="1" applyProtection="1">
      <alignment horizontal="center" vertical="center" wrapText="1"/>
      <protection hidden="1"/>
    </xf>
    <xf numFmtId="0" fontId="6" fillId="0" borderId="11" xfId="0" applyFont="1" applyBorder="1" applyAlignment="1" applyProtection="1">
      <alignment horizontal="center" vertical="center" textRotation="90" wrapText="1"/>
      <protection hidden="1"/>
    </xf>
    <xf numFmtId="0" fontId="1" fillId="0" borderId="0" xfId="0" applyFont="1" applyFill="1" applyProtection="1">
      <protection hidden="1"/>
    </xf>
    <xf numFmtId="0" fontId="20" fillId="0" borderId="0" xfId="0" applyFont="1" applyFill="1" applyProtection="1">
      <protection hidden="1"/>
    </xf>
    <xf numFmtId="0" fontId="5" fillId="0" borderId="0" xfId="0" applyFont="1" applyFill="1" applyAlignment="1" applyProtection="1">
      <alignment horizontal="right" vertical="center"/>
      <protection hidden="1"/>
    </xf>
    <xf numFmtId="0" fontId="5" fillId="0" borderId="0" xfId="0" applyFont="1" applyFill="1" applyAlignment="1" applyProtection="1">
      <alignment horizontal="right" vertical="center" wrapText="1"/>
      <protection hidden="1"/>
    </xf>
    <xf numFmtId="0" fontId="5" fillId="0" borderId="11" xfId="0" applyFont="1" applyBorder="1" applyAlignment="1" applyProtection="1">
      <alignment horizontal="center" vertical="center" wrapText="1"/>
      <protection hidden="1"/>
    </xf>
    <xf numFmtId="0" fontId="12" fillId="0" borderId="33" xfId="0" applyFont="1" applyBorder="1" applyAlignment="1" applyProtection="1">
      <alignment horizontal="center" vertical="center" textRotation="90" wrapText="1"/>
      <protection hidden="1"/>
    </xf>
    <xf numFmtId="0" fontId="6" fillId="0" borderId="39" xfId="0" applyFont="1" applyBorder="1" applyAlignment="1" applyProtection="1">
      <alignment horizontal="left"/>
      <protection hidden="1"/>
    </xf>
    <xf numFmtId="0" fontId="6" fillId="0" borderId="57" xfId="0" applyFont="1" applyBorder="1" applyAlignment="1" applyProtection="1">
      <alignment horizontal="left"/>
      <protection hidden="1"/>
    </xf>
    <xf numFmtId="0" fontId="6" fillId="0" borderId="58" xfId="0" applyFont="1" applyBorder="1" applyAlignment="1" applyProtection="1">
      <alignment horizontal="left"/>
      <protection hidden="1"/>
    </xf>
    <xf numFmtId="0" fontId="5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0" fontId="5" fillId="0" borderId="56" xfId="0" applyFont="1" applyBorder="1" applyAlignment="1" applyProtection="1">
      <alignment horizontal="center"/>
      <protection locked="0" hidden="1"/>
    </xf>
    <xf numFmtId="0" fontId="5" fillId="0" borderId="11" xfId="0" applyFont="1" applyBorder="1" applyAlignment="1" applyProtection="1">
      <alignment horizontal="center" vertical="center" textRotation="90" wrapText="1"/>
      <protection locked="0" hidden="1"/>
    </xf>
    <xf numFmtId="2" fontId="5" fillId="0" borderId="0" xfId="0" applyNumberFormat="1" applyFont="1" applyAlignment="1" applyProtection="1">
      <alignment horizontal="center" vertical="center" wrapText="1"/>
      <protection hidden="1"/>
    </xf>
    <xf numFmtId="2" fontId="5" fillId="0" borderId="38" xfId="0" applyNumberFormat="1" applyFont="1" applyBorder="1" applyAlignment="1" applyProtection="1">
      <alignment horizontal="center" vertical="center" wrapText="1"/>
      <protection hidden="1"/>
    </xf>
    <xf numFmtId="0" fontId="14" fillId="0" borderId="11" xfId="0" applyFont="1" applyBorder="1" applyAlignment="1" applyProtection="1">
      <alignment horizontal="center" vertical="center" textRotation="90" wrapText="1"/>
      <protection locked="0" hidden="1"/>
    </xf>
    <xf numFmtId="0" fontId="5" fillId="0" borderId="18" xfId="0" applyFont="1" applyBorder="1" applyAlignment="1" applyProtection="1">
      <alignment horizontal="center" vertical="center"/>
      <protection hidden="1"/>
    </xf>
    <xf numFmtId="2" fontId="5" fillId="2" borderId="12" xfId="0" applyNumberFormat="1" applyFont="1" applyFill="1" applyBorder="1" applyAlignment="1" applyProtection="1">
      <alignment horizontal="center" vertical="center" wrapText="1"/>
      <protection hidden="1"/>
    </xf>
    <xf numFmtId="2" fontId="5" fillId="2" borderId="12" xfId="0" applyNumberFormat="1" applyFont="1" applyFill="1" applyBorder="1" applyAlignment="1" applyProtection="1">
      <alignment horizontal="center" vertical="center" wrapText="1"/>
      <protection locked="0" hidden="1"/>
    </xf>
    <xf numFmtId="2" fontId="5" fillId="2" borderId="59" xfId="0" applyNumberFormat="1" applyFont="1" applyFill="1" applyBorder="1" applyAlignment="1" applyProtection="1">
      <alignment horizontal="center" vertical="center" wrapText="1"/>
      <protection locked="0" hidden="1"/>
    </xf>
    <xf numFmtId="2" fontId="19" fillId="0" borderId="45" xfId="0" applyNumberFormat="1" applyFont="1" applyFill="1" applyBorder="1" applyAlignment="1" applyProtection="1">
      <protection locked="0" hidden="1"/>
    </xf>
    <xf numFmtId="166" fontId="8" fillId="2" borderId="51" xfId="0" applyNumberFormat="1" applyFont="1" applyFill="1" applyBorder="1" applyAlignment="1" applyProtection="1">
      <alignment vertical="center" wrapText="1"/>
      <protection locked="0" hidden="1"/>
    </xf>
    <xf numFmtId="0" fontId="5" fillId="0" borderId="0" xfId="0" applyFont="1" applyBorder="1" applyAlignment="1" applyProtection="1">
      <alignment horizontal="center"/>
      <protection hidden="1"/>
    </xf>
    <xf numFmtId="0" fontId="6" fillId="0" borderId="0" xfId="0" applyFont="1" applyBorder="1" applyAlignment="1" applyProtection="1">
      <alignment horizontal="left"/>
      <protection hidden="1"/>
    </xf>
    <xf numFmtId="2" fontId="5" fillId="0" borderId="0" xfId="0" applyNumberFormat="1" applyFont="1" applyBorder="1" applyAlignment="1" applyProtection="1">
      <alignment horizontal="center" vertical="center" wrapText="1"/>
      <protection hidden="1"/>
    </xf>
    <xf numFmtId="0" fontId="34" fillId="0" borderId="0" xfId="0" applyFont="1" applyBorder="1" applyAlignment="1" applyProtection="1">
      <alignment horizontal="center" vertical="center"/>
      <protection hidden="1"/>
    </xf>
    <xf numFmtId="9" fontId="31" fillId="0" borderId="0" xfId="0" applyNumberFormat="1" applyFont="1" applyBorder="1" applyAlignment="1" applyProtection="1">
      <alignment horizontal="center" vertical="center" wrapText="1"/>
      <protection hidden="1"/>
    </xf>
    <xf numFmtId="0" fontId="3" fillId="0" borderId="0" xfId="0" applyFont="1" applyBorder="1" applyAlignment="1" applyProtection="1">
      <alignment horizontal="center"/>
      <protection hidden="1"/>
    </xf>
    <xf numFmtId="2" fontId="1" fillId="0" borderId="0" xfId="0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 applyBorder="1" applyAlignment="1" applyProtection="1">
      <alignment horizontal="center"/>
      <protection locked="0" hidden="1"/>
    </xf>
    <xf numFmtId="0" fontId="5" fillId="0" borderId="0" xfId="0" applyFont="1" applyBorder="1" applyAlignment="1" applyProtection="1">
      <alignment horizontal="center"/>
      <protection hidden="1"/>
    </xf>
    <xf numFmtId="0" fontId="6" fillId="0" borderId="1" xfId="0" applyFont="1" applyBorder="1" applyAlignment="1" applyProtection="1">
      <alignment horizontal="center" vertical="center"/>
      <protection hidden="1"/>
    </xf>
    <xf numFmtId="0" fontId="5" fillId="0" borderId="11" xfId="0" applyFont="1" applyBorder="1" applyAlignment="1" applyProtection="1">
      <alignment horizontal="center" vertical="center" wrapText="1"/>
      <protection hidden="1"/>
    </xf>
    <xf numFmtId="2" fontId="5" fillId="2" borderId="12" xfId="0" applyNumberFormat="1" applyFont="1" applyFill="1" applyBorder="1" applyAlignment="1" applyProtection="1">
      <alignment horizontal="center" vertical="center" wrapText="1"/>
      <protection locked="0" hidden="1"/>
    </xf>
    <xf numFmtId="0" fontId="5" fillId="0" borderId="13" xfId="0" applyFont="1" applyBorder="1" applyAlignment="1" applyProtection="1">
      <alignment horizontal="center" vertical="center" wrapText="1"/>
      <protection hidden="1"/>
    </xf>
    <xf numFmtId="2" fontId="5" fillId="2" borderId="21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7" xfId="0" applyFont="1" applyBorder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center"/>
      <protection hidden="1"/>
    </xf>
    <xf numFmtId="0" fontId="8" fillId="0" borderId="22" xfId="0" applyFont="1" applyBorder="1" applyAlignment="1" applyProtection="1">
      <alignment vertical="center" wrapText="1"/>
      <protection hidden="1"/>
    </xf>
    <xf numFmtId="2" fontId="5" fillId="2" borderId="59" xfId="0" applyNumberFormat="1" applyFont="1" applyFill="1" applyBorder="1" applyAlignment="1" applyProtection="1">
      <alignment horizontal="center" vertical="center" wrapText="1"/>
      <protection locked="0" hidden="1"/>
    </xf>
    <xf numFmtId="2" fontId="1" fillId="0" borderId="21" xfId="0" applyNumberFormat="1" applyFont="1" applyBorder="1" applyAlignment="1" applyProtection="1">
      <alignment horizontal="center" vertical="center" wrapText="1"/>
      <protection hidden="1"/>
    </xf>
    <xf numFmtId="2" fontId="5" fillId="2" borderId="12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18" xfId="0" applyFont="1" applyBorder="1" applyAlignment="1" applyProtection="1">
      <alignment horizontal="center"/>
      <protection hidden="1"/>
    </xf>
    <xf numFmtId="0" fontId="5" fillId="0" borderId="56" xfId="0" applyFont="1" applyBorder="1" applyAlignment="1" applyProtection="1">
      <alignment horizontal="center"/>
      <protection hidden="1"/>
    </xf>
    <xf numFmtId="0" fontId="6" fillId="0" borderId="57" xfId="0" applyFont="1" applyBorder="1" applyAlignment="1" applyProtection="1">
      <alignment horizontal="left"/>
      <protection hidden="1"/>
    </xf>
    <xf numFmtId="0" fontId="6" fillId="0" borderId="58" xfId="0" applyFont="1" applyBorder="1" applyAlignment="1" applyProtection="1">
      <alignment horizontal="left"/>
      <protection hidden="1"/>
    </xf>
    <xf numFmtId="0" fontId="5" fillId="0" borderId="11" xfId="0" applyFont="1" applyBorder="1" applyAlignment="1" applyProtection="1">
      <alignment horizontal="center" textRotation="90"/>
      <protection locked="0" hidden="1"/>
    </xf>
    <xf numFmtId="0" fontId="5" fillId="0" borderId="39" xfId="0" applyFont="1" applyBorder="1" applyAlignment="1" applyProtection="1">
      <alignment horizontal="center" textRotation="90"/>
      <protection locked="0" hidden="1"/>
    </xf>
    <xf numFmtId="0" fontId="11" fillId="0" borderId="18" xfId="0" applyFont="1" applyBorder="1" applyAlignment="1" applyProtection="1">
      <alignment horizontal="center" vertical="center" textRotation="90"/>
      <protection hidden="1"/>
    </xf>
    <xf numFmtId="0" fontId="11" fillId="0" borderId="57" xfId="0" applyFont="1" applyBorder="1" applyAlignment="1" applyProtection="1">
      <alignment horizontal="center" vertical="center" textRotation="90"/>
      <protection hidden="1"/>
    </xf>
    <xf numFmtId="0" fontId="12" fillId="0" borderId="22" xfId="0" applyFont="1" applyBorder="1" applyAlignment="1" applyProtection="1">
      <alignment horizontal="center" vertical="center" textRotation="90"/>
      <protection hidden="1"/>
    </xf>
    <xf numFmtId="0" fontId="12" fillId="0" borderId="43" xfId="0" applyFont="1" applyBorder="1" applyAlignment="1" applyProtection="1">
      <alignment horizontal="center" vertical="center" textRotation="90"/>
      <protection hidden="1"/>
    </xf>
    <xf numFmtId="0" fontId="4" fillId="0" borderId="11" xfId="0" applyFont="1" applyBorder="1" applyAlignment="1" applyProtection="1">
      <alignment horizontal="center" vertical="center"/>
      <protection locked="0" hidden="1"/>
    </xf>
    <xf numFmtId="0" fontId="4" fillId="0" borderId="18" xfId="0" applyFont="1" applyBorder="1" applyAlignment="1" applyProtection="1">
      <alignment horizontal="center" vertical="center"/>
      <protection locked="0" hidden="1"/>
    </xf>
    <xf numFmtId="14" fontId="5" fillId="0" borderId="18" xfId="0" applyNumberFormat="1" applyFont="1" applyBorder="1" applyAlignment="1" applyProtection="1">
      <alignment horizontal="center" vertical="center" wrapText="1"/>
      <protection locked="0" hidden="1"/>
    </xf>
    <xf numFmtId="0" fontId="5" fillId="0" borderId="18" xfId="0" applyFont="1" applyBorder="1" applyAlignment="1" applyProtection="1">
      <alignment horizontal="center" vertical="center" wrapText="1"/>
      <protection locked="0" hidden="1"/>
    </xf>
    <xf numFmtId="0" fontId="14" fillId="0" borderId="22" xfId="0" applyFont="1" applyBorder="1" applyAlignment="1" applyProtection="1">
      <alignment horizontal="center" vertical="center" wrapText="1"/>
      <protection locked="0" hidden="1"/>
    </xf>
    <xf numFmtId="0" fontId="14" fillId="0" borderId="17" xfId="0" applyFont="1" applyBorder="1" applyAlignment="1" applyProtection="1">
      <alignment horizontal="center" vertical="center" wrapText="1"/>
      <protection locked="0" hidden="1"/>
    </xf>
    <xf numFmtId="0" fontId="5" fillId="0" borderId="11" xfId="0" applyFont="1" applyBorder="1" applyAlignment="1" applyProtection="1">
      <alignment horizontal="left" vertical="center"/>
      <protection hidden="1"/>
    </xf>
    <xf numFmtId="0" fontId="5" fillId="0" borderId="18" xfId="0" applyFont="1" applyBorder="1" applyAlignment="1" applyProtection="1">
      <alignment horizontal="left" vertical="center"/>
      <protection hidden="1"/>
    </xf>
    <xf numFmtId="0" fontId="5" fillId="0" borderId="32" xfId="0" applyFont="1" applyBorder="1" applyAlignment="1" applyProtection="1">
      <alignment horizontal="left" vertical="center"/>
      <protection hidden="1"/>
    </xf>
    <xf numFmtId="2" fontId="5" fillId="0" borderId="18" xfId="0" applyNumberFormat="1" applyFont="1" applyBorder="1" applyAlignment="1" applyProtection="1">
      <alignment horizontal="center" vertical="center"/>
      <protection hidden="1"/>
    </xf>
    <xf numFmtId="2" fontId="5" fillId="0" borderId="38" xfId="0" applyNumberFormat="1" applyFont="1" applyBorder="1" applyAlignment="1" applyProtection="1">
      <alignment horizontal="center" vertical="center"/>
      <protection hidden="1"/>
    </xf>
    <xf numFmtId="0" fontId="5" fillId="0" borderId="38" xfId="0" applyFont="1" applyBorder="1" applyAlignment="1" applyProtection="1">
      <alignment horizontal="center" vertical="center"/>
      <protection hidden="1"/>
    </xf>
    <xf numFmtId="0" fontId="20" fillId="0" borderId="26" xfId="0" applyFont="1" applyBorder="1" applyAlignment="1" applyProtection="1">
      <alignment horizontal="center" vertical="center"/>
      <protection hidden="1"/>
    </xf>
    <xf numFmtId="0" fontId="0" fillId="0" borderId="26" xfId="0" applyBorder="1" applyAlignment="1">
      <alignment horizontal="center" vertical="center"/>
    </xf>
    <xf numFmtId="0" fontId="20" fillId="0" borderId="47" xfId="0" applyFont="1" applyBorder="1" applyAlignment="1" applyProtection="1">
      <alignment horizontal="center" vertical="center"/>
      <protection hidden="1"/>
    </xf>
    <xf numFmtId="0" fontId="0" fillId="0" borderId="47" xfId="0" applyBorder="1" applyAlignment="1">
      <alignment horizontal="center" vertical="center"/>
    </xf>
    <xf numFmtId="0" fontId="4" fillId="0" borderId="28" xfId="0" applyFont="1" applyBorder="1" applyAlignment="1" applyProtection="1">
      <alignment horizontal="center" vertical="center"/>
      <protection hidden="1"/>
    </xf>
    <xf numFmtId="0" fontId="4" fillId="0" borderId="69" xfId="0" applyFont="1" applyBorder="1" applyAlignment="1" applyProtection="1">
      <alignment horizontal="center" vertical="center"/>
      <protection hidden="1"/>
    </xf>
    <xf numFmtId="0" fontId="31" fillId="0" borderId="69" xfId="0" applyFont="1" applyBorder="1" applyAlignment="1" applyProtection="1">
      <alignment horizontal="center" vertical="center"/>
      <protection hidden="1"/>
    </xf>
    <xf numFmtId="0" fontId="31" fillId="0" borderId="29" xfId="0" applyFont="1" applyBorder="1" applyAlignment="1" applyProtection="1">
      <alignment horizontal="center" vertical="center"/>
      <protection hidden="1"/>
    </xf>
    <xf numFmtId="0" fontId="21" fillId="0" borderId="18" xfId="0" applyFont="1" applyBorder="1" applyAlignment="1" applyProtection="1">
      <alignment horizontal="left" vertical="center" wrapText="1"/>
      <protection hidden="1"/>
    </xf>
    <xf numFmtId="0" fontId="21" fillId="0" borderId="22" xfId="0" applyFont="1" applyBorder="1" applyAlignment="1" applyProtection="1">
      <alignment horizontal="left" vertical="center" wrapText="1"/>
      <protection hidden="1"/>
    </xf>
    <xf numFmtId="0" fontId="5" fillId="0" borderId="16" xfId="0" applyFont="1" applyBorder="1" applyAlignment="1" applyProtection="1">
      <alignment horizontal="center" vertical="center" wrapText="1"/>
      <protection hidden="1"/>
    </xf>
    <xf numFmtId="2" fontId="5" fillId="0" borderId="18" xfId="0" applyNumberFormat="1" applyFont="1" applyBorder="1" applyAlignment="1" applyProtection="1">
      <alignment horizontal="center" vertical="center" wrapText="1"/>
      <protection hidden="1"/>
    </xf>
    <xf numFmtId="0" fontId="5" fillId="0" borderId="18" xfId="0" applyFont="1" applyBorder="1" applyAlignment="1" applyProtection="1">
      <alignment horizontal="center" vertical="center" wrapText="1"/>
      <protection hidden="1"/>
    </xf>
    <xf numFmtId="2" fontId="5" fillId="0" borderId="38" xfId="0" applyNumberFormat="1" applyFont="1" applyBorder="1" applyAlignment="1" applyProtection="1">
      <alignment horizontal="center" vertical="center" wrapText="1"/>
      <protection hidden="1"/>
    </xf>
    <xf numFmtId="0" fontId="5" fillId="0" borderId="38" xfId="0" applyFont="1" applyBorder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2" fontId="5" fillId="0" borderId="0" xfId="0" applyNumberFormat="1" applyFont="1" applyAlignment="1" applyProtection="1">
      <alignment horizontal="center" vertical="center" wrapText="1"/>
      <protection hidden="1"/>
    </xf>
    <xf numFmtId="0" fontId="5" fillId="0" borderId="11" xfId="0" applyFont="1" applyBorder="1" applyAlignment="1" applyProtection="1">
      <alignment horizontal="center" vertical="center" textRotation="90" wrapText="1"/>
      <protection locked="0" hidden="1"/>
    </xf>
    <xf numFmtId="0" fontId="11" fillId="0" borderId="23" xfId="0" applyFont="1" applyBorder="1" applyAlignment="1" applyProtection="1">
      <alignment horizontal="center" vertical="center" textRotation="90" wrapText="1"/>
      <protection hidden="1"/>
    </xf>
    <xf numFmtId="0" fontId="11" fillId="0" borderId="25" xfId="0" applyFont="1" applyBorder="1" applyAlignment="1" applyProtection="1">
      <alignment horizontal="center" vertical="center" textRotation="90" wrapText="1"/>
      <protection hidden="1"/>
    </xf>
    <xf numFmtId="0" fontId="11" fillId="0" borderId="66" xfId="0" applyFont="1" applyBorder="1" applyAlignment="1" applyProtection="1">
      <alignment horizontal="center" vertical="center" textRotation="90" wrapText="1"/>
      <protection hidden="1"/>
    </xf>
    <xf numFmtId="0" fontId="11" fillId="0" borderId="67" xfId="0" applyFont="1" applyBorder="1" applyAlignment="1" applyProtection="1">
      <alignment horizontal="center" vertical="center" textRotation="90" wrapText="1"/>
      <protection hidden="1"/>
    </xf>
    <xf numFmtId="0" fontId="11" fillId="0" borderId="33" xfId="0" applyFont="1" applyBorder="1" applyAlignment="1" applyProtection="1">
      <alignment horizontal="center" vertical="center" textRotation="90" wrapText="1"/>
      <protection hidden="1"/>
    </xf>
    <xf numFmtId="0" fontId="11" fillId="0" borderId="7" xfId="0" applyFont="1" applyBorder="1" applyAlignment="1" applyProtection="1">
      <alignment horizontal="center" vertical="center" textRotation="90" wrapText="1"/>
      <protection hidden="1"/>
    </xf>
    <xf numFmtId="0" fontId="12" fillId="0" borderId="22" xfId="0" applyFont="1" applyBorder="1" applyAlignment="1" applyProtection="1">
      <alignment horizontal="center" vertical="center" textRotation="90" wrapText="1"/>
      <protection hidden="1"/>
    </xf>
    <xf numFmtId="0" fontId="5" fillId="0" borderId="18" xfId="0" applyFont="1" applyBorder="1" applyAlignment="1" applyProtection="1">
      <alignment horizontal="left" vertical="center" wrapText="1"/>
      <protection hidden="1"/>
    </xf>
    <xf numFmtId="0" fontId="5" fillId="0" borderId="22" xfId="0" applyFont="1" applyBorder="1" applyAlignment="1" applyProtection="1">
      <alignment horizontal="left" vertical="center" wrapText="1"/>
      <protection hidden="1"/>
    </xf>
    <xf numFmtId="0" fontId="5" fillId="0" borderId="18" xfId="0" applyFont="1" applyBorder="1" applyAlignment="1" applyProtection="1">
      <alignment horizontal="center" vertical="center" textRotation="90"/>
      <protection hidden="1"/>
    </xf>
    <xf numFmtId="0" fontId="2" fillId="0" borderId="11" xfId="0" applyFont="1" applyBorder="1" applyAlignment="1" applyProtection="1">
      <alignment horizontal="center" vertical="center" textRotation="90" wrapText="1"/>
      <protection locked="0" hidden="1"/>
    </xf>
    <xf numFmtId="0" fontId="11" fillId="0" borderId="18" xfId="0" applyFont="1" applyBorder="1" applyAlignment="1" applyProtection="1">
      <alignment horizontal="center" vertical="center" textRotation="90" wrapText="1"/>
      <protection hidden="1"/>
    </xf>
    <xf numFmtId="0" fontId="2" fillId="0" borderId="13" xfId="0" applyFont="1" applyBorder="1" applyAlignment="1" applyProtection="1">
      <alignment horizontal="center" vertical="center" textRotation="90" wrapText="1"/>
      <protection locked="0" hidden="1"/>
    </xf>
    <xf numFmtId="0" fontId="2" fillId="0" borderId="65" xfId="0" applyFont="1" applyBorder="1" applyAlignment="1" applyProtection="1">
      <alignment horizontal="center" vertical="center" textRotation="90" wrapText="1"/>
      <protection locked="0" hidden="1"/>
    </xf>
    <xf numFmtId="0" fontId="2" fillId="0" borderId="6" xfId="0" applyFont="1" applyBorder="1" applyAlignment="1" applyProtection="1">
      <alignment horizontal="center" vertical="center" textRotation="90" wrapText="1"/>
      <protection locked="0" hidden="1"/>
    </xf>
    <xf numFmtId="0" fontId="5" fillId="0" borderId="18" xfId="0" applyFont="1" applyBorder="1" applyAlignment="1" applyProtection="1">
      <alignment horizontal="center" vertical="center" textRotation="90" wrapText="1"/>
      <protection hidden="1"/>
    </xf>
    <xf numFmtId="0" fontId="5" fillId="0" borderId="68" xfId="0" applyFont="1" applyBorder="1" applyAlignment="1" applyProtection="1">
      <alignment horizontal="center" vertical="center" wrapText="1"/>
      <protection hidden="1"/>
    </xf>
    <xf numFmtId="2" fontId="5" fillId="0" borderId="52" xfId="0" applyNumberFormat="1" applyFont="1" applyBorder="1" applyAlignment="1" applyProtection="1">
      <alignment horizontal="center" vertical="center" wrapText="1"/>
      <protection hidden="1"/>
    </xf>
    <xf numFmtId="14" fontId="5" fillId="0" borderId="11" xfId="0" applyNumberFormat="1" applyFont="1" applyBorder="1" applyAlignment="1" applyProtection="1">
      <alignment horizontal="center" vertical="center" textRotation="90" wrapText="1"/>
      <protection locked="0" hidden="1"/>
    </xf>
    <xf numFmtId="0" fontId="11" fillId="0" borderId="48" xfId="0" applyFont="1" applyBorder="1" applyAlignment="1" applyProtection="1">
      <alignment horizontal="center" vertical="center" textRotation="90" wrapText="1"/>
      <protection hidden="1"/>
    </xf>
    <xf numFmtId="0" fontId="11" fillId="0" borderId="37" xfId="0" applyFont="1" applyBorder="1" applyAlignment="1" applyProtection="1">
      <alignment horizontal="center" vertical="center" textRotation="90" wrapText="1"/>
      <protection hidden="1"/>
    </xf>
    <xf numFmtId="0" fontId="11" fillId="0" borderId="32" xfId="0" applyFont="1" applyBorder="1" applyAlignment="1" applyProtection="1">
      <alignment horizontal="center" vertical="center" textRotation="90" wrapText="1"/>
      <protection hidden="1"/>
    </xf>
    <xf numFmtId="0" fontId="12" fillId="0" borderId="23" xfId="0" applyFont="1" applyBorder="1" applyAlignment="1" applyProtection="1">
      <alignment horizontal="center" vertical="center" textRotation="90" wrapText="1"/>
      <protection hidden="1"/>
    </xf>
    <xf numFmtId="0" fontId="12" fillId="0" borderId="66" xfId="0" applyFont="1" applyBorder="1" applyAlignment="1" applyProtection="1">
      <alignment horizontal="center" vertical="center" textRotation="90" wrapText="1"/>
      <protection hidden="1"/>
    </xf>
    <xf numFmtId="0" fontId="12" fillId="0" borderId="33" xfId="0" applyFont="1" applyBorder="1" applyAlignment="1" applyProtection="1">
      <alignment horizontal="center" vertical="center" textRotation="90" wrapText="1"/>
      <protection hidden="1"/>
    </xf>
    <xf numFmtId="0" fontId="13" fillId="0" borderId="18" xfId="0" applyFont="1" applyBorder="1" applyAlignment="1" applyProtection="1">
      <alignment horizontal="center" vertical="center" wrapText="1"/>
      <protection hidden="1"/>
    </xf>
    <xf numFmtId="0" fontId="5" fillId="0" borderId="53" xfId="0" applyFont="1" applyBorder="1" applyAlignment="1" applyProtection="1">
      <alignment horizontal="center" vertical="center" wrapText="1"/>
      <protection hidden="1"/>
    </xf>
    <xf numFmtId="0" fontId="16" fillId="0" borderId="18" xfId="0" applyFont="1" applyBorder="1" applyAlignment="1" applyProtection="1">
      <alignment horizontal="center" vertical="center" textRotation="90" wrapText="1"/>
      <protection hidden="1"/>
    </xf>
    <xf numFmtId="0" fontId="5" fillId="0" borderId="18" xfId="0" applyFont="1" applyFill="1" applyBorder="1" applyAlignment="1" applyProtection="1">
      <alignment horizontal="left" vertical="center" wrapText="1"/>
      <protection hidden="1"/>
    </xf>
    <xf numFmtId="0" fontId="5" fillId="0" borderId="22" xfId="0" applyFont="1" applyFill="1" applyBorder="1" applyAlignment="1" applyProtection="1">
      <alignment horizontal="left" vertical="center" wrapText="1"/>
      <protection hidden="1"/>
    </xf>
    <xf numFmtId="0" fontId="5" fillId="0" borderId="11" xfId="0" applyFont="1" applyBorder="1" applyAlignment="1" applyProtection="1">
      <alignment horizontal="center" vertical="center" wrapText="1"/>
      <protection hidden="1"/>
    </xf>
    <xf numFmtId="0" fontId="6" fillId="0" borderId="18" xfId="0" applyFont="1" applyBorder="1" applyAlignment="1" applyProtection="1">
      <alignment horizontal="left" vertical="center" wrapText="1"/>
      <protection hidden="1"/>
    </xf>
    <xf numFmtId="0" fontId="6" fillId="0" borderId="22" xfId="0" applyFont="1" applyBorder="1" applyAlignment="1" applyProtection="1">
      <alignment horizontal="left" vertical="center" wrapText="1"/>
      <protection hidden="1"/>
    </xf>
    <xf numFmtId="2" fontId="5" fillId="2" borderId="12" xfId="0" applyNumberFormat="1" applyFont="1" applyFill="1" applyBorder="1" applyAlignment="1" applyProtection="1">
      <alignment horizontal="center" vertical="center" wrapText="1"/>
      <protection locked="0" hidden="1"/>
    </xf>
    <xf numFmtId="0" fontId="5" fillId="0" borderId="26" xfId="0" applyFont="1" applyBorder="1" applyAlignment="1" applyProtection="1">
      <alignment horizontal="center" vertical="center" wrapText="1"/>
      <protection hidden="1"/>
    </xf>
    <xf numFmtId="0" fontId="13" fillId="0" borderId="0" xfId="0" applyFont="1" applyAlignment="1" applyProtection="1">
      <alignment horizontal="center" vertical="center" wrapText="1"/>
      <protection hidden="1"/>
    </xf>
    <xf numFmtId="0" fontId="6" fillId="0" borderId="28" xfId="0" applyFont="1" applyBorder="1" applyAlignment="1" applyProtection="1">
      <alignment horizontal="center" vertical="center"/>
      <protection hidden="1"/>
    </xf>
    <xf numFmtId="0" fontId="6" fillId="0" borderId="29" xfId="0" applyFont="1" applyBorder="1" applyAlignment="1" applyProtection="1">
      <alignment horizontal="center" vertical="center"/>
      <protection hidden="1"/>
    </xf>
    <xf numFmtId="0" fontId="14" fillId="0" borderId="48" xfId="0" applyFont="1" applyBorder="1" applyAlignment="1" applyProtection="1">
      <alignment horizontal="center" vertical="center" wrapText="1"/>
      <protection hidden="1"/>
    </xf>
    <xf numFmtId="0" fontId="14" fillId="0" borderId="23" xfId="0" applyFont="1" applyBorder="1" applyAlignment="1" applyProtection="1">
      <alignment horizontal="center" vertical="center" wrapText="1"/>
      <protection hidden="1"/>
    </xf>
    <xf numFmtId="0" fontId="14" fillId="0" borderId="24" xfId="0" applyFont="1" applyBorder="1" applyAlignment="1" applyProtection="1">
      <alignment horizontal="center" vertical="center" wrapText="1"/>
      <protection hidden="1"/>
    </xf>
    <xf numFmtId="0" fontId="11" fillId="0" borderId="1" xfId="0" applyFont="1" applyBorder="1" applyAlignment="1" applyProtection="1">
      <alignment horizontal="center"/>
      <protection hidden="1"/>
    </xf>
    <xf numFmtId="0" fontId="3" fillId="0" borderId="44" xfId="0" applyFont="1" applyBorder="1" applyAlignment="1" applyProtection="1">
      <alignment horizontal="center"/>
      <protection hidden="1"/>
    </xf>
    <xf numFmtId="0" fontId="3" fillId="0" borderId="4" xfId="0" applyFont="1" applyBorder="1" applyAlignment="1" applyProtection="1">
      <alignment horizontal="center"/>
      <protection hidden="1"/>
    </xf>
    <xf numFmtId="0" fontId="3" fillId="0" borderId="5" xfId="0" applyFont="1" applyBorder="1" applyAlignment="1" applyProtection="1">
      <alignment horizontal="center"/>
      <protection hidden="1"/>
    </xf>
    <xf numFmtId="2" fontId="4" fillId="0" borderId="13" xfId="0" applyNumberFormat="1" applyFont="1" applyBorder="1" applyAlignment="1" applyProtection="1">
      <alignment horizontal="center" vertical="top" textRotation="90"/>
      <protection locked="0" hidden="1"/>
    </xf>
    <xf numFmtId="2" fontId="4" fillId="0" borderId="65" xfId="0" applyNumberFormat="1" applyFont="1" applyBorder="1" applyAlignment="1" applyProtection="1">
      <alignment horizontal="center" vertical="top" textRotation="90"/>
      <protection locked="0" hidden="1"/>
    </xf>
    <xf numFmtId="0" fontId="11" fillId="0" borderId="23" xfId="0" applyFont="1" applyBorder="1" applyAlignment="1" applyProtection="1">
      <alignment horizontal="center" vertical="center" textRotation="90"/>
      <protection hidden="1"/>
    </xf>
    <xf numFmtId="0" fontId="11" fillId="0" borderId="66" xfId="0" applyFont="1" applyBorder="1" applyAlignment="1" applyProtection="1">
      <alignment horizontal="center" vertical="center" textRotation="90"/>
      <protection hidden="1"/>
    </xf>
    <xf numFmtId="0" fontId="11" fillId="0" borderId="25" xfId="0" applyFont="1" applyBorder="1" applyAlignment="1" applyProtection="1">
      <alignment horizontal="center" vertical="center" textRotation="90"/>
      <protection hidden="1"/>
    </xf>
    <xf numFmtId="0" fontId="11" fillId="0" borderId="67" xfId="0" applyFont="1" applyBorder="1" applyAlignment="1" applyProtection="1">
      <alignment horizontal="center" vertical="center" textRotation="90"/>
      <protection hidden="1"/>
    </xf>
    <xf numFmtId="0" fontId="12" fillId="0" borderId="23" xfId="0" applyFont="1" applyBorder="1" applyAlignment="1" applyProtection="1">
      <alignment horizontal="center" vertical="center" textRotation="90"/>
      <protection hidden="1"/>
    </xf>
    <xf numFmtId="0" fontId="12" fillId="0" borderId="66" xfId="0" applyFont="1" applyBorder="1" applyAlignment="1" applyProtection="1">
      <alignment horizontal="center" vertical="center" textRotation="90"/>
      <protection hidden="1"/>
    </xf>
    <xf numFmtId="0" fontId="5" fillId="0" borderId="30" xfId="0" applyFont="1" applyBorder="1" applyAlignment="1" applyProtection="1">
      <alignment horizontal="center"/>
      <protection hidden="1"/>
    </xf>
    <xf numFmtId="0" fontId="5" fillId="0" borderId="0" xfId="0" applyFont="1" applyBorder="1" applyAlignment="1" applyProtection="1">
      <alignment horizontal="center"/>
      <protection hidden="1"/>
    </xf>
    <xf numFmtId="0" fontId="5" fillId="0" borderId="45" xfId="0" applyFont="1" applyBorder="1" applyAlignment="1" applyProtection="1">
      <alignment horizontal="center"/>
      <protection hidden="1"/>
    </xf>
    <xf numFmtId="0" fontId="6" fillId="0" borderId="1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hidden="1"/>
    </xf>
    <xf numFmtId="2" fontId="4" fillId="0" borderId="13" xfId="0" applyNumberFormat="1" applyFont="1" applyBorder="1" applyAlignment="1" applyProtection="1">
      <alignment horizontal="center" vertical="top" textRotation="90"/>
      <protection hidden="1"/>
    </xf>
    <xf numFmtId="0" fontId="4" fillId="0" borderId="65" xfId="0" applyFont="1" applyBorder="1" applyAlignment="1" applyProtection="1">
      <alignment horizontal="center" vertical="top" textRotation="90"/>
      <protection hidden="1"/>
    </xf>
    <xf numFmtId="0" fontId="4" fillId="0" borderId="6" xfId="0" applyFont="1" applyBorder="1" applyAlignment="1" applyProtection="1">
      <alignment horizontal="center" vertical="top" textRotation="90"/>
      <protection hidden="1"/>
    </xf>
    <xf numFmtId="0" fontId="2" fillId="0" borderId="18" xfId="0" applyFont="1" applyBorder="1" applyAlignment="1" applyProtection="1">
      <alignment horizontal="center" vertical="center" textRotation="90"/>
      <protection hidden="1"/>
    </xf>
    <xf numFmtId="0" fontId="2" fillId="0" borderId="22" xfId="0" applyFont="1" applyBorder="1" applyAlignment="1" applyProtection="1">
      <alignment horizontal="center" vertical="center" textRotation="90"/>
      <protection hidden="1"/>
    </xf>
    <xf numFmtId="0" fontId="5" fillId="0" borderId="11" xfId="0" applyFont="1" applyBorder="1" applyAlignment="1" applyProtection="1">
      <alignment horizontal="center" vertical="center" textRotation="90" wrapText="1"/>
      <protection locked="0"/>
    </xf>
    <xf numFmtId="0" fontId="2" fillId="0" borderId="18" xfId="0" applyFont="1" applyBorder="1" applyAlignment="1" applyProtection="1">
      <alignment horizontal="center" vertical="center" textRotation="90" wrapText="1"/>
      <protection hidden="1"/>
    </xf>
    <xf numFmtId="0" fontId="2" fillId="0" borderId="22" xfId="0" applyFont="1" applyBorder="1" applyAlignment="1" applyProtection="1">
      <alignment horizontal="center" vertical="center" textRotation="90" wrapText="1"/>
      <protection hidden="1"/>
    </xf>
    <xf numFmtId="0" fontId="8" fillId="0" borderId="18" xfId="0" applyFont="1" applyBorder="1" applyAlignment="1" applyProtection="1">
      <alignment horizontal="left" vertical="center" wrapText="1"/>
      <protection hidden="1"/>
    </xf>
    <xf numFmtId="0" fontId="8" fillId="0" borderId="22" xfId="0" applyFont="1" applyBorder="1" applyAlignment="1" applyProtection="1">
      <alignment horizontal="left" vertical="center" wrapText="1"/>
      <protection hidden="1"/>
    </xf>
    <xf numFmtId="0" fontId="7" fillId="0" borderId="0" xfId="0" applyFont="1" applyBorder="1" applyAlignment="1" applyProtection="1">
      <alignment horizontal="center" vertical="center" wrapText="1"/>
      <protection hidden="1"/>
    </xf>
    <xf numFmtId="0" fontId="7" fillId="0" borderId="67" xfId="0" applyFont="1" applyBorder="1" applyAlignment="1" applyProtection="1">
      <alignment horizontal="center" vertical="center" wrapText="1"/>
      <protection hidden="1"/>
    </xf>
    <xf numFmtId="0" fontId="2" fillId="0" borderId="33" xfId="0" applyFont="1" applyBorder="1" applyAlignment="1" applyProtection="1">
      <alignment horizontal="center" vertical="center" wrapText="1"/>
      <protection hidden="1"/>
    </xf>
    <xf numFmtId="0" fontId="2" fillId="0" borderId="7" xfId="0" applyFont="1" applyBorder="1" applyAlignment="1" applyProtection="1">
      <alignment horizontal="center" vertical="center" wrapText="1"/>
      <protection hidden="1"/>
    </xf>
    <xf numFmtId="0" fontId="5" fillId="0" borderId="26" xfId="0" applyFont="1" applyBorder="1" applyAlignment="1" applyProtection="1">
      <alignment horizontal="left" vertical="center" wrapText="1"/>
      <protection hidden="1"/>
    </xf>
    <xf numFmtId="0" fontId="5" fillId="0" borderId="62" xfId="0" applyFont="1" applyBorder="1" applyAlignment="1" applyProtection="1">
      <alignment horizontal="left" vertical="center" wrapText="1"/>
      <protection hidden="1"/>
    </xf>
    <xf numFmtId="2" fontId="5" fillId="0" borderId="48" xfId="0" applyNumberFormat="1" applyFont="1" applyBorder="1" applyAlignment="1" applyProtection="1">
      <alignment horizontal="center" vertical="center" wrapText="1"/>
      <protection hidden="1"/>
    </xf>
    <xf numFmtId="2" fontId="5" fillId="0" borderId="32" xfId="0" applyNumberFormat="1" applyFont="1" applyBorder="1" applyAlignment="1" applyProtection="1">
      <alignment horizontal="center" vertical="center" wrapText="1"/>
      <protection hidden="1"/>
    </xf>
    <xf numFmtId="0" fontId="5" fillId="0" borderId="0" xfId="0" applyFont="1" applyBorder="1" applyAlignment="1" applyProtection="1">
      <alignment horizontal="center" vertical="center" wrapText="1"/>
      <protection hidden="1"/>
    </xf>
    <xf numFmtId="2" fontId="5" fillId="0" borderId="0" xfId="0" applyNumberFormat="1" applyFont="1" applyBorder="1" applyAlignment="1" applyProtection="1">
      <alignment horizontal="center" vertical="center" wrapText="1"/>
      <protection hidden="1"/>
    </xf>
    <xf numFmtId="2" fontId="5" fillId="0" borderId="59" xfId="0" applyNumberFormat="1" applyFont="1" applyBorder="1" applyAlignment="1" applyProtection="1">
      <alignment horizontal="center" vertical="center" wrapText="1"/>
      <protection hidden="1"/>
    </xf>
    <xf numFmtId="2" fontId="5" fillId="0" borderId="12" xfId="0" applyNumberFormat="1" applyFont="1" applyBorder="1" applyAlignment="1" applyProtection="1">
      <alignment horizontal="center" vertical="center" wrapText="1"/>
      <protection hidden="1"/>
    </xf>
    <xf numFmtId="165" fontId="5" fillId="0" borderId="0" xfId="0" applyNumberFormat="1" applyFont="1" applyBorder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5" fillId="0" borderId="23" xfId="0" applyFont="1" applyBorder="1" applyAlignment="1" applyProtection="1">
      <alignment horizontal="center" vertical="center" wrapText="1"/>
      <protection hidden="1"/>
    </xf>
    <xf numFmtId="0" fontId="5" fillId="0" borderId="33" xfId="0" applyFont="1" applyBorder="1" applyAlignment="1" applyProtection="1">
      <alignment horizontal="center" vertical="center" wrapText="1"/>
      <protection hidden="1"/>
    </xf>
    <xf numFmtId="166" fontId="5" fillId="0" borderId="0" xfId="0" applyNumberFormat="1" applyFont="1" applyBorder="1" applyAlignment="1" applyProtection="1">
      <alignment horizontal="center" vertical="center" wrapText="1"/>
      <protection hidden="1"/>
    </xf>
    <xf numFmtId="166" fontId="5" fillId="0" borderId="23" xfId="0" applyNumberFormat="1" applyFont="1" applyBorder="1" applyAlignment="1" applyProtection="1">
      <alignment horizontal="center" vertical="center" wrapText="1"/>
      <protection hidden="1"/>
    </xf>
    <xf numFmtId="166" fontId="5" fillId="0" borderId="33" xfId="0" applyNumberFormat="1" applyFont="1" applyBorder="1" applyAlignment="1" applyProtection="1">
      <alignment horizontal="center" vertical="center" wrapText="1"/>
      <protection hidden="1"/>
    </xf>
    <xf numFmtId="0" fontId="5" fillId="0" borderId="62" xfId="0" applyFont="1" applyBorder="1" applyAlignment="1" applyProtection="1">
      <alignment horizontal="center" vertical="center" wrapText="1"/>
      <protection hidden="1"/>
    </xf>
    <xf numFmtId="0" fontId="2" fillId="0" borderId="11" xfId="0" applyFont="1" applyBorder="1" applyAlignment="1" applyProtection="1">
      <alignment horizontal="center" vertical="center" textRotation="90" wrapText="1"/>
      <protection locked="0"/>
    </xf>
    <xf numFmtId="0" fontId="8" fillId="0" borderId="51" xfId="0" applyFont="1" applyBorder="1" applyAlignment="1" applyProtection="1">
      <alignment horizontal="left" vertical="center" wrapText="1"/>
      <protection hidden="1"/>
    </xf>
    <xf numFmtId="166" fontId="5" fillId="4" borderId="0" xfId="0" applyNumberFormat="1" applyFont="1" applyFill="1" applyBorder="1" applyAlignment="1" applyProtection="1">
      <alignment horizontal="center" vertical="center" wrapText="1"/>
      <protection hidden="1"/>
    </xf>
    <xf numFmtId="2" fontId="5" fillId="0" borderId="21" xfId="0" applyNumberFormat="1" applyFont="1" applyBorder="1" applyAlignment="1" applyProtection="1">
      <alignment horizontal="center" vertical="center" wrapText="1"/>
      <protection hidden="1"/>
    </xf>
    <xf numFmtId="0" fontId="5" fillId="0" borderId="13" xfId="0" applyFont="1" applyBorder="1" applyAlignment="1" applyProtection="1">
      <alignment horizontal="center" vertical="center" wrapText="1"/>
      <protection hidden="1"/>
    </xf>
    <xf numFmtId="0" fontId="5" fillId="0" borderId="6" xfId="0" applyFont="1" applyBorder="1" applyAlignment="1" applyProtection="1">
      <alignment horizontal="center" vertical="center" wrapText="1"/>
      <protection hidden="1"/>
    </xf>
    <xf numFmtId="0" fontId="5" fillId="0" borderId="13" xfId="0" applyFont="1" applyBorder="1" applyAlignment="1" applyProtection="1">
      <alignment horizontal="center" vertical="center" textRotation="90" wrapText="1"/>
      <protection locked="0"/>
    </xf>
    <xf numFmtId="0" fontId="5" fillId="0" borderId="65" xfId="0" applyFont="1" applyBorder="1" applyAlignment="1" applyProtection="1">
      <alignment horizontal="center" vertical="center" textRotation="90" wrapText="1"/>
      <protection locked="0"/>
    </xf>
    <xf numFmtId="0" fontId="5" fillId="0" borderId="6" xfId="0" applyFont="1" applyBorder="1" applyAlignment="1" applyProtection="1">
      <alignment horizontal="center" vertical="center" textRotation="90" wrapText="1"/>
      <protection locked="0"/>
    </xf>
    <xf numFmtId="0" fontId="2" fillId="0" borderId="23" xfId="0" applyFont="1" applyBorder="1" applyAlignment="1" applyProtection="1">
      <alignment horizontal="center" vertical="center" textRotation="90" wrapText="1"/>
      <protection hidden="1"/>
    </xf>
    <xf numFmtId="0" fontId="2" fillId="0" borderId="25" xfId="0" applyFont="1" applyBorder="1" applyAlignment="1" applyProtection="1">
      <alignment horizontal="center" vertical="center" textRotation="90" wrapText="1"/>
      <protection hidden="1"/>
    </xf>
    <xf numFmtId="0" fontId="2" fillId="0" borderId="66" xfId="0" applyFont="1" applyBorder="1" applyAlignment="1" applyProtection="1">
      <alignment horizontal="center" vertical="center" textRotation="90" wrapText="1"/>
      <protection hidden="1"/>
    </xf>
    <xf numFmtId="0" fontId="2" fillId="0" borderId="67" xfId="0" applyFont="1" applyBorder="1" applyAlignment="1" applyProtection="1">
      <alignment horizontal="center" vertical="center" textRotation="90" wrapText="1"/>
      <protection hidden="1"/>
    </xf>
    <xf numFmtId="0" fontId="2" fillId="0" borderId="33" xfId="0" applyFont="1" applyBorder="1" applyAlignment="1" applyProtection="1">
      <alignment horizontal="center" vertical="center" textRotation="90" wrapText="1"/>
      <protection hidden="1"/>
    </xf>
    <xf numFmtId="0" fontId="2" fillId="0" borderId="7" xfId="0" applyFont="1" applyBorder="1" applyAlignment="1" applyProtection="1">
      <alignment horizontal="center" vertical="center" textRotation="90" wrapText="1"/>
      <protection hidden="1"/>
    </xf>
    <xf numFmtId="0" fontId="6" fillId="0" borderId="26" xfId="0" applyFont="1" applyBorder="1" applyAlignment="1" applyProtection="1">
      <alignment horizontal="center" vertical="center" wrapText="1"/>
      <protection hidden="1"/>
    </xf>
    <xf numFmtId="0" fontId="6" fillId="0" borderId="62" xfId="0" applyFont="1" applyBorder="1" applyAlignment="1" applyProtection="1">
      <alignment horizontal="center" vertical="center" wrapText="1"/>
      <protection hidden="1"/>
    </xf>
    <xf numFmtId="0" fontId="8" fillId="0" borderId="23" xfId="0" applyFont="1" applyBorder="1" applyAlignment="1" applyProtection="1">
      <alignment horizontal="left" vertical="center" wrapText="1"/>
      <protection hidden="1"/>
    </xf>
    <xf numFmtId="0" fontId="8" fillId="0" borderId="26" xfId="0" applyFont="1" applyBorder="1" applyAlignment="1" applyProtection="1">
      <alignment horizontal="left" vertical="center" wrapText="1"/>
      <protection hidden="1"/>
    </xf>
    <xf numFmtId="0" fontId="8" fillId="0" borderId="33" xfId="0" applyFont="1" applyBorder="1" applyAlignment="1" applyProtection="1">
      <alignment horizontal="left" vertical="center" wrapText="1"/>
      <protection hidden="1"/>
    </xf>
    <xf numFmtId="0" fontId="8" fillId="0" borderId="62" xfId="0" applyFont="1" applyBorder="1" applyAlignment="1" applyProtection="1">
      <alignment horizontal="left" vertical="center" wrapText="1"/>
      <protection hidden="1"/>
    </xf>
    <xf numFmtId="2" fontId="5" fillId="2" borderId="21" xfId="0" applyNumberFormat="1" applyFont="1" applyFill="1" applyBorder="1" applyAlignment="1" applyProtection="1">
      <alignment horizontal="center" vertical="center" wrapText="1"/>
      <protection hidden="1"/>
    </xf>
    <xf numFmtId="2" fontId="5" fillId="2" borderId="36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13" xfId="0" applyFont="1" applyBorder="1" applyAlignment="1" applyProtection="1">
      <alignment horizontal="left" vertical="center" wrapText="1"/>
      <protection hidden="1"/>
    </xf>
    <xf numFmtId="0" fontId="5" fillId="0" borderId="6" xfId="0" applyFont="1" applyBorder="1" applyAlignment="1" applyProtection="1">
      <alignment horizontal="left" vertical="center" wrapText="1"/>
      <protection hidden="1"/>
    </xf>
    <xf numFmtId="2" fontId="5" fillId="0" borderId="48" xfId="0" applyNumberFormat="1" applyFont="1" applyFill="1" applyBorder="1" applyAlignment="1" applyProtection="1">
      <alignment horizontal="center" vertical="center" wrapText="1"/>
      <protection hidden="1"/>
    </xf>
    <xf numFmtId="2" fontId="5" fillId="0" borderId="32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Border="1" applyAlignment="1" applyProtection="1">
      <alignment horizontal="center" vertical="center" textRotation="90" wrapText="1"/>
      <protection hidden="1"/>
    </xf>
    <xf numFmtId="2" fontId="1" fillId="0" borderId="63" xfId="0" applyNumberFormat="1" applyFont="1" applyFill="1" applyBorder="1" applyAlignment="1" applyProtection="1">
      <alignment horizontal="center" vertical="center"/>
      <protection hidden="1"/>
    </xf>
    <xf numFmtId="2" fontId="1" fillId="0" borderId="61" xfId="0" applyNumberFormat="1" applyFont="1" applyFill="1" applyBorder="1" applyAlignment="1" applyProtection="1">
      <alignment horizontal="center" vertical="center"/>
      <protection hidden="1"/>
    </xf>
    <xf numFmtId="2" fontId="1" fillId="0" borderId="27" xfId="0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 applyBorder="1" applyAlignment="1" applyProtection="1">
      <alignment horizontal="center" vertical="center"/>
      <protection hidden="1"/>
    </xf>
    <xf numFmtId="2" fontId="1" fillId="0" borderId="0" xfId="0" applyNumberFormat="1" applyFont="1" applyFill="1" applyBorder="1" applyAlignment="1" applyProtection="1">
      <alignment horizontal="center"/>
      <protection hidden="1"/>
    </xf>
    <xf numFmtId="0" fontId="20" fillId="0" borderId="0" xfId="0" applyFont="1" applyBorder="1" applyAlignment="1" applyProtection="1">
      <alignment horizontal="center" vertical="center"/>
      <protection hidden="1"/>
    </xf>
    <xf numFmtId="0" fontId="34" fillId="0" borderId="0" xfId="0" applyFont="1" applyBorder="1" applyAlignment="1" applyProtection="1">
      <alignment horizontal="center" vertical="center"/>
      <protection hidden="1"/>
    </xf>
    <xf numFmtId="0" fontId="34" fillId="0" borderId="45" xfId="0" applyFont="1" applyBorder="1" applyAlignment="1" applyProtection="1">
      <alignment horizontal="center" vertical="center"/>
      <protection hidden="1"/>
    </xf>
    <xf numFmtId="166" fontId="5" fillId="0" borderId="31" xfId="0" applyNumberFormat="1" applyFont="1" applyBorder="1" applyAlignment="1" applyProtection="1">
      <alignment horizontal="center" vertical="center" wrapText="1"/>
      <protection hidden="1"/>
    </xf>
    <xf numFmtId="166" fontId="5" fillId="0" borderId="56" xfId="0" applyNumberFormat="1" applyFont="1" applyBorder="1" applyAlignment="1" applyProtection="1">
      <alignment horizontal="center" vertical="center" wrapText="1"/>
      <protection hidden="1"/>
    </xf>
    <xf numFmtId="2" fontId="5" fillId="0" borderId="21" xfId="0" applyNumberFormat="1" applyFont="1" applyFill="1" applyBorder="1" applyAlignment="1" applyProtection="1">
      <alignment horizontal="center" vertical="center" wrapText="1"/>
      <protection hidden="1"/>
    </xf>
    <xf numFmtId="2" fontId="5" fillId="0" borderId="36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24" xfId="0" applyFont="1" applyBorder="1" applyAlignment="1" applyProtection="1">
      <alignment horizontal="left" vertical="center" wrapText="1"/>
      <protection hidden="1"/>
    </xf>
    <xf numFmtId="0" fontId="7" fillId="0" borderId="64" xfId="0" applyFont="1" applyBorder="1" applyAlignment="1" applyProtection="1">
      <alignment horizontal="left" vertical="center" wrapText="1"/>
      <protection hidden="1"/>
    </xf>
    <xf numFmtId="0" fontId="7" fillId="0" borderId="19" xfId="0" applyFont="1" applyBorder="1" applyAlignment="1" applyProtection="1">
      <alignment horizontal="left" vertical="center" wrapText="1"/>
      <protection hidden="1"/>
    </xf>
    <xf numFmtId="0" fontId="5" fillId="0" borderId="65" xfId="0" applyFont="1" applyBorder="1" applyAlignment="1" applyProtection="1">
      <alignment horizontal="center" vertical="center"/>
      <protection hidden="1"/>
    </xf>
    <xf numFmtId="0" fontId="2" fillId="0" borderId="32" xfId="0" applyFont="1" applyBorder="1" applyAlignment="1" applyProtection="1">
      <alignment vertical="center"/>
      <protection hidden="1"/>
    </xf>
    <xf numFmtId="0" fontId="2" fillId="0" borderId="33" xfId="0" applyFont="1" applyBorder="1" applyAlignment="1" applyProtection="1">
      <alignment vertical="center"/>
      <protection hidden="1"/>
    </xf>
    <xf numFmtId="0" fontId="2" fillId="0" borderId="18" xfId="0" applyFont="1" applyBorder="1" applyAlignment="1" applyProtection="1">
      <alignment vertical="center"/>
      <protection hidden="1"/>
    </xf>
    <xf numFmtId="0" fontId="2" fillId="0" borderId="22" xfId="0" applyFont="1" applyBorder="1" applyAlignment="1" applyProtection="1">
      <alignment vertical="center"/>
      <protection hidden="1"/>
    </xf>
    <xf numFmtId="0" fontId="2" fillId="0" borderId="48" xfId="0" applyFont="1" applyBorder="1" applyAlignment="1" applyProtection="1">
      <alignment vertical="center"/>
      <protection hidden="1"/>
    </xf>
    <xf numFmtId="0" fontId="2" fillId="0" borderId="23" xfId="0" applyFont="1" applyBorder="1" applyAlignment="1" applyProtection="1">
      <alignment vertical="center"/>
      <protection hidden="1"/>
    </xf>
    <xf numFmtId="0" fontId="2" fillId="2" borderId="44" xfId="0" applyFont="1" applyFill="1" applyBorder="1" applyAlignment="1" applyProtection="1">
      <alignment horizontal="center" vertical="center"/>
      <protection locked="0" hidden="1"/>
    </xf>
    <xf numFmtId="0" fontId="2" fillId="2" borderId="5" xfId="0" applyFont="1" applyFill="1" applyBorder="1" applyAlignment="1" applyProtection="1">
      <alignment horizontal="center" vertical="center"/>
      <protection locked="0" hidden="1"/>
    </xf>
    <xf numFmtId="0" fontId="2" fillId="2" borderId="30" xfId="0" applyFont="1" applyFill="1" applyBorder="1" applyAlignment="1" applyProtection="1">
      <alignment horizontal="center" vertical="center"/>
      <protection locked="0" hidden="1"/>
    </xf>
    <xf numFmtId="0" fontId="2" fillId="2" borderId="45" xfId="0" applyFont="1" applyFill="1" applyBorder="1" applyAlignment="1" applyProtection="1">
      <alignment horizontal="center" vertical="center"/>
      <protection locked="0" hidden="1"/>
    </xf>
    <xf numFmtId="0" fontId="2" fillId="2" borderId="46" xfId="0" applyFont="1" applyFill="1" applyBorder="1" applyAlignment="1" applyProtection="1">
      <alignment horizontal="center" vertical="center"/>
      <protection locked="0" hidden="1"/>
    </xf>
    <xf numFmtId="0" fontId="2" fillId="2" borderId="35" xfId="0" applyFont="1" applyFill="1" applyBorder="1" applyAlignment="1" applyProtection="1">
      <alignment horizontal="center" vertical="center"/>
      <protection locked="0" hidden="1"/>
    </xf>
    <xf numFmtId="0" fontId="2" fillId="0" borderId="0" xfId="0" applyFont="1" applyBorder="1" applyAlignment="1" applyProtection="1">
      <alignment vertical="center"/>
      <protection hidden="1"/>
    </xf>
    <xf numFmtId="2" fontId="5" fillId="0" borderId="32" xfId="0" applyNumberFormat="1" applyFont="1" applyBorder="1" applyAlignment="1" applyProtection="1">
      <alignment horizontal="center"/>
      <protection hidden="1"/>
    </xf>
    <xf numFmtId="2" fontId="5" fillId="0" borderId="18" xfId="0" applyNumberFormat="1" applyFont="1" applyBorder="1" applyAlignment="1" applyProtection="1">
      <alignment horizontal="center"/>
      <protection hidden="1"/>
    </xf>
    <xf numFmtId="2" fontId="5" fillId="0" borderId="48" xfId="0" applyNumberFormat="1" applyFont="1" applyBorder="1" applyAlignment="1" applyProtection="1">
      <alignment horizontal="center"/>
      <protection hidden="1"/>
    </xf>
    <xf numFmtId="166" fontId="5" fillId="0" borderId="66" xfId="0" applyNumberFormat="1" applyFont="1" applyBorder="1" applyAlignment="1" applyProtection="1">
      <alignment horizontal="center" vertical="center"/>
      <protection hidden="1"/>
    </xf>
    <xf numFmtId="0" fontId="14" fillId="0" borderId="16" xfId="0" applyFont="1" applyBorder="1" applyAlignment="1" applyProtection="1">
      <alignment horizontal="center" vertical="center" wrapText="1"/>
      <protection locked="0" hidden="1"/>
    </xf>
    <xf numFmtId="0" fontId="5" fillId="0" borderId="18" xfId="0" applyFont="1" applyBorder="1" applyAlignment="1" applyProtection="1">
      <alignment horizontal="center"/>
      <protection locked="0" hidden="1"/>
    </xf>
    <xf numFmtId="0" fontId="5" fillId="0" borderId="56" xfId="0" applyFont="1" applyBorder="1" applyAlignment="1" applyProtection="1">
      <alignment horizontal="center"/>
      <protection locked="0" hidden="1"/>
    </xf>
    <xf numFmtId="0" fontId="6" fillId="0" borderId="39" xfId="0" applyFont="1" applyBorder="1" applyAlignment="1" applyProtection="1">
      <alignment horizontal="left"/>
      <protection hidden="1"/>
    </xf>
    <xf numFmtId="0" fontId="6" fillId="0" borderId="0" xfId="0" applyFont="1" applyBorder="1" applyAlignment="1" applyProtection="1">
      <alignment horizontal="left"/>
      <protection hidden="1"/>
    </xf>
    <xf numFmtId="0" fontId="5" fillId="0" borderId="11" xfId="0" applyFont="1" applyBorder="1" applyAlignment="1" applyProtection="1">
      <alignment horizontal="center" textRotation="90"/>
      <protection hidden="1"/>
    </xf>
    <xf numFmtId="0" fontId="2" fillId="0" borderId="57" xfId="0" applyFont="1" applyBorder="1" applyAlignment="1" applyProtection="1">
      <alignment horizontal="center" vertical="center" textRotation="90"/>
      <protection hidden="1"/>
    </xf>
    <xf numFmtId="0" fontId="4" fillId="0" borderId="33" xfId="0" applyFont="1" applyBorder="1" applyAlignment="1" applyProtection="1">
      <alignment horizontal="left" vertical="center"/>
      <protection hidden="1"/>
    </xf>
    <xf numFmtId="0" fontId="4" fillId="0" borderId="62" xfId="0" applyFont="1" applyBorder="1" applyAlignment="1" applyProtection="1">
      <alignment horizontal="left" vertical="center"/>
      <protection hidden="1"/>
    </xf>
    <xf numFmtId="0" fontId="5" fillId="0" borderId="39" xfId="0" applyFont="1" applyBorder="1" applyAlignment="1" applyProtection="1">
      <alignment horizontal="center" textRotation="90"/>
      <protection hidden="1"/>
    </xf>
    <xf numFmtId="0" fontId="2" fillId="0" borderId="43" xfId="0" applyFont="1" applyBorder="1" applyAlignment="1" applyProtection="1">
      <alignment horizontal="center" vertical="center" textRotation="90"/>
      <protection hidden="1"/>
    </xf>
    <xf numFmtId="0" fontId="4" fillId="0" borderId="22" xfId="0" applyFont="1" applyBorder="1" applyAlignment="1" applyProtection="1">
      <alignment horizontal="center" vertical="center"/>
      <protection locked="0" hidden="1"/>
    </xf>
    <xf numFmtId="0" fontId="4" fillId="0" borderId="16" xfId="0" applyFont="1" applyBorder="1" applyAlignment="1" applyProtection="1">
      <alignment horizontal="center" vertical="center"/>
      <protection locked="0" hidden="1"/>
    </xf>
    <xf numFmtId="0" fontId="14" fillId="0" borderId="22" xfId="0" applyFont="1" applyBorder="1" applyAlignment="1" applyProtection="1">
      <alignment horizontal="center" vertical="center"/>
      <protection locked="0" hidden="1"/>
    </xf>
    <xf numFmtId="0" fontId="14" fillId="0" borderId="16" xfId="0" applyFont="1" applyBorder="1" applyAlignment="1" applyProtection="1">
      <alignment horizontal="center" vertical="center"/>
      <protection locked="0" hidden="1"/>
    </xf>
    <xf numFmtId="0" fontId="5" fillId="0" borderId="22" xfId="0" applyFont="1" applyBorder="1" applyAlignment="1" applyProtection="1">
      <alignment horizontal="center" vertical="center" wrapText="1"/>
      <protection locked="0" hidden="1"/>
    </xf>
    <xf numFmtId="0" fontId="5" fillId="0" borderId="16" xfId="0" applyFont="1" applyBorder="1" applyAlignment="1" applyProtection="1">
      <alignment horizontal="center" vertical="center" wrapText="1"/>
      <protection locked="0" hidden="1"/>
    </xf>
    <xf numFmtId="0" fontId="5" fillId="0" borderId="11" xfId="0" applyFont="1" applyBorder="1" applyAlignment="1" applyProtection="1">
      <alignment horizontal="center" vertical="center"/>
      <protection locked="0" hidden="1"/>
    </xf>
    <xf numFmtId="0" fontId="5" fillId="0" borderId="18" xfId="0" applyFont="1" applyBorder="1" applyAlignment="1" applyProtection="1">
      <alignment horizontal="center" vertical="center"/>
      <protection locked="0" hidden="1"/>
    </xf>
    <xf numFmtId="2" fontId="5" fillId="0" borderId="37" xfId="0" applyNumberFormat="1" applyFont="1" applyBorder="1" applyAlignment="1" applyProtection="1">
      <alignment horizontal="center" vertical="center" wrapText="1"/>
      <protection hidden="1"/>
    </xf>
    <xf numFmtId="0" fontId="20" fillId="0" borderId="0" xfId="0" applyFont="1" applyBorder="1" applyAlignment="1" applyProtection="1">
      <alignment horizontal="center" vertical="center" wrapText="1"/>
      <protection hidden="1"/>
    </xf>
    <xf numFmtId="0" fontId="0" fillId="0" borderId="0" xfId="0" applyAlignment="1">
      <alignment horizontal="center" vertical="center" wrapText="1"/>
    </xf>
    <xf numFmtId="2" fontId="5" fillId="0" borderId="61" xfId="0" applyNumberFormat="1" applyFont="1" applyBorder="1" applyAlignment="1" applyProtection="1">
      <alignment horizontal="center" vertical="center" wrapText="1"/>
      <protection hidden="1"/>
    </xf>
    <xf numFmtId="0" fontId="8" fillId="0" borderId="18" xfId="0" applyFont="1" applyBorder="1" applyAlignment="1" applyProtection="1">
      <alignment vertical="center" wrapText="1"/>
      <protection hidden="1"/>
    </xf>
    <xf numFmtId="0" fontId="8" fillId="0" borderId="22" xfId="0" applyFont="1" applyBorder="1" applyAlignment="1" applyProtection="1">
      <alignment vertical="center" wrapText="1"/>
      <protection hidden="1"/>
    </xf>
    <xf numFmtId="0" fontId="8" fillId="0" borderId="17" xfId="0" applyFont="1" applyBorder="1" applyAlignment="1" applyProtection="1">
      <alignment vertical="center" wrapText="1"/>
      <protection hidden="1"/>
    </xf>
    <xf numFmtId="0" fontId="7" fillId="0" borderId="30" xfId="0" applyFont="1" applyBorder="1" applyAlignment="1" applyProtection="1">
      <alignment horizontal="left" vertical="center" wrapText="1"/>
      <protection hidden="1"/>
    </xf>
    <xf numFmtId="0" fontId="7" fillId="0" borderId="0" xfId="0" applyFont="1" applyBorder="1" applyAlignment="1" applyProtection="1">
      <alignment horizontal="left" vertical="center" wrapText="1"/>
      <protection hidden="1"/>
    </xf>
    <xf numFmtId="0" fontId="7" fillId="0" borderId="45" xfId="0" applyFont="1" applyBorder="1" applyAlignment="1" applyProtection="1">
      <alignment horizontal="left" vertical="center" wrapText="1"/>
      <protection hidden="1"/>
    </xf>
    <xf numFmtId="0" fontId="7" fillId="0" borderId="46" xfId="0" applyFont="1" applyBorder="1" applyAlignment="1" applyProtection="1">
      <alignment horizontal="left" vertical="center" wrapText="1"/>
      <protection hidden="1"/>
    </xf>
    <xf numFmtId="0" fontId="7" fillId="0" borderId="47" xfId="0" applyFont="1" applyBorder="1" applyAlignment="1" applyProtection="1">
      <alignment horizontal="left" vertical="center" wrapText="1"/>
      <protection hidden="1"/>
    </xf>
    <xf numFmtId="0" fontId="7" fillId="0" borderId="35" xfId="0" applyFont="1" applyBorder="1" applyAlignment="1" applyProtection="1">
      <alignment horizontal="left" vertical="center" wrapText="1"/>
      <protection hidden="1"/>
    </xf>
    <xf numFmtId="2" fontId="1" fillId="0" borderId="21" xfId="0" applyNumberFormat="1" applyFont="1" applyBorder="1" applyAlignment="1" applyProtection="1">
      <alignment horizontal="center" vertical="center" wrapText="1"/>
      <protection hidden="1"/>
    </xf>
    <xf numFmtId="2" fontId="1" fillId="0" borderId="27" xfId="0" applyNumberFormat="1" applyFont="1" applyBorder="1" applyAlignment="1" applyProtection="1">
      <alignment horizontal="center" vertical="center" wrapText="1"/>
      <protection hidden="1"/>
    </xf>
    <xf numFmtId="0" fontId="8" fillId="0" borderId="57" xfId="0" applyFont="1" applyBorder="1" applyAlignment="1" applyProtection="1">
      <alignment horizontal="left" vertical="center" wrapText="1"/>
      <protection hidden="1"/>
    </xf>
    <xf numFmtId="0" fontId="8" fillId="0" borderId="43" xfId="0" applyFont="1" applyBorder="1" applyAlignment="1" applyProtection="1">
      <alignment horizontal="left" vertical="center" wrapText="1"/>
      <protection hidden="1"/>
    </xf>
    <xf numFmtId="2" fontId="5" fillId="2" borderId="21" xfId="0" applyNumberFormat="1" applyFont="1" applyFill="1" applyBorder="1" applyAlignment="1" applyProtection="1">
      <alignment horizontal="center" vertical="center" wrapText="1"/>
      <protection locked="0" hidden="1"/>
    </xf>
    <xf numFmtId="2" fontId="5" fillId="2" borderId="36" xfId="0" applyNumberFormat="1" applyFont="1" applyFill="1" applyBorder="1" applyAlignment="1" applyProtection="1">
      <alignment horizontal="center" vertical="center" wrapText="1"/>
      <protection locked="0" hidden="1"/>
    </xf>
    <xf numFmtId="0" fontId="5" fillId="0" borderId="65" xfId="0" applyFont="1" applyBorder="1" applyAlignment="1" applyProtection="1">
      <alignment horizontal="left" vertical="center" wrapText="1"/>
      <protection hidden="1"/>
    </xf>
    <xf numFmtId="166" fontId="5" fillId="0" borderId="8" xfId="0" applyNumberFormat="1" applyFont="1" applyBorder="1" applyAlignment="1" applyProtection="1">
      <alignment horizontal="center" vertical="center" wrapText="1"/>
      <protection hidden="1"/>
    </xf>
    <xf numFmtId="0" fontId="2" fillId="0" borderId="16" xfId="0" applyFont="1" applyBorder="1" applyAlignment="1" applyProtection="1">
      <alignment horizontal="left" vertical="center" wrapText="1"/>
      <protection hidden="1"/>
    </xf>
    <xf numFmtId="0" fontId="2" fillId="0" borderId="18" xfId="0" applyFont="1" applyBorder="1" applyAlignment="1" applyProtection="1">
      <alignment horizontal="left" vertical="center" wrapText="1"/>
      <protection hidden="1"/>
    </xf>
    <xf numFmtId="0" fontId="2" fillId="0" borderId="22" xfId="0" applyFont="1" applyBorder="1" applyAlignment="1" applyProtection="1">
      <alignment horizontal="left" vertical="center" wrapText="1"/>
      <protection hidden="1"/>
    </xf>
    <xf numFmtId="0" fontId="8" fillId="0" borderId="16" xfId="0" applyFont="1" applyBorder="1" applyAlignment="1" applyProtection="1">
      <alignment horizontal="left" vertical="center" wrapText="1"/>
      <protection hidden="1"/>
    </xf>
    <xf numFmtId="2" fontId="5" fillId="0" borderId="36" xfId="0" applyNumberFormat="1" applyFont="1" applyBorder="1" applyAlignment="1" applyProtection="1">
      <alignment horizontal="center" vertical="center" wrapText="1"/>
      <protection hidden="1"/>
    </xf>
    <xf numFmtId="0" fontId="14" fillId="0" borderId="18" xfId="0" applyFont="1" applyBorder="1" applyAlignment="1" applyProtection="1">
      <alignment horizontal="center" vertical="center" wrapText="1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5" fillId="0" borderId="16" xfId="0" applyFont="1" applyBorder="1" applyAlignment="1" applyProtection="1">
      <alignment horizontal="left" vertical="center" wrapText="1"/>
      <protection hidden="1"/>
    </xf>
    <xf numFmtId="2" fontId="5" fillId="2" borderId="59" xfId="0" applyNumberFormat="1" applyFont="1" applyFill="1" applyBorder="1" applyAlignment="1" applyProtection="1">
      <alignment horizontal="center" vertical="center" wrapText="1"/>
      <protection locked="0" hidden="1"/>
    </xf>
    <xf numFmtId="0" fontId="8" fillId="0" borderId="18" xfId="0" applyFont="1" applyBorder="1" applyAlignment="1" applyProtection="1">
      <alignment horizontal="center" vertical="center" textRotation="90" wrapText="1"/>
      <protection hidden="1"/>
    </xf>
    <xf numFmtId="0" fontId="13" fillId="2" borderId="24" xfId="0" applyFont="1" applyFill="1" applyBorder="1" applyAlignment="1" applyProtection="1">
      <alignment horizontal="center" vertical="center" wrapText="1"/>
      <protection locked="0" hidden="1"/>
    </xf>
    <xf numFmtId="0" fontId="13" fillId="2" borderId="15" xfId="0" applyFont="1" applyFill="1" applyBorder="1" applyAlignment="1" applyProtection="1">
      <alignment horizontal="center" vertical="center" wrapText="1"/>
      <protection locked="0" hidden="1"/>
    </xf>
    <xf numFmtId="2" fontId="4" fillId="0" borderId="65" xfId="0" applyNumberFormat="1" applyFont="1" applyBorder="1" applyAlignment="1" applyProtection="1">
      <alignment horizontal="center" vertical="top" textRotation="90"/>
      <protection hidden="1"/>
    </xf>
    <xf numFmtId="0" fontId="33" fillId="0" borderId="0" xfId="0" applyFont="1" applyBorder="1" applyAlignment="1" applyProtection="1">
      <alignment horizontal="center" vertical="center"/>
      <protection hidden="1"/>
    </xf>
    <xf numFmtId="0" fontId="5" fillId="0" borderId="65" xfId="0" applyFont="1" applyBorder="1" applyAlignment="1" applyProtection="1">
      <alignment horizontal="center" vertical="center" wrapText="1"/>
      <protection hidden="1"/>
    </xf>
    <xf numFmtId="166" fontId="5" fillId="0" borderId="22" xfId="0" applyNumberFormat="1" applyFont="1" applyBorder="1" applyAlignment="1" applyProtection="1">
      <alignment horizontal="center" vertical="center" wrapText="1"/>
      <protection hidden="1"/>
    </xf>
    <xf numFmtId="0" fontId="8" fillId="0" borderId="17" xfId="0" applyFont="1" applyBorder="1" applyAlignment="1" applyProtection="1">
      <alignment horizontal="left" vertical="center" wrapText="1"/>
      <protection hidden="1"/>
    </xf>
    <xf numFmtId="2" fontId="5" fillId="0" borderId="23" xfId="0" applyNumberFormat="1" applyFont="1" applyBorder="1" applyAlignment="1" applyProtection="1">
      <alignment horizontal="center" vertical="center" wrapText="1"/>
      <protection hidden="1"/>
    </xf>
    <xf numFmtId="2" fontId="5" fillId="0" borderId="33" xfId="0" applyNumberFormat="1" applyFont="1" applyBorder="1" applyAlignment="1" applyProtection="1">
      <alignment horizontal="center" vertical="center" wrapText="1"/>
      <protection hidden="1"/>
    </xf>
    <xf numFmtId="0" fontId="6" fillId="0" borderId="49" xfId="0" applyFont="1" applyBorder="1" applyAlignment="1" applyProtection="1">
      <alignment horizontal="left"/>
      <protection hidden="1"/>
    </xf>
    <xf numFmtId="0" fontId="6" fillId="0" borderId="50" xfId="0" applyFont="1" applyBorder="1" applyAlignment="1" applyProtection="1">
      <alignment horizontal="left"/>
      <protection hidden="1"/>
    </xf>
    <xf numFmtId="0" fontId="5" fillId="0" borderId="48" xfId="0" applyFont="1" applyBorder="1" applyAlignment="1" applyProtection="1">
      <alignment horizontal="center" vertical="center" textRotation="90" wrapText="1"/>
      <protection hidden="1"/>
    </xf>
    <xf numFmtId="0" fontId="5" fillId="0" borderId="37" xfId="0" applyFont="1" applyBorder="1" applyAlignment="1" applyProtection="1">
      <alignment horizontal="center" vertical="center" textRotation="90" wrapText="1"/>
      <protection hidden="1"/>
    </xf>
    <xf numFmtId="0" fontId="5" fillId="0" borderId="44" xfId="0" applyFont="1" applyBorder="1" applyAlignment="1" applyProtection="1">
      <alignment horizontal="left" vertical="top"/>
      <protection hidden="1"/>
    </xf>
    <xf numFmtId="0" fontId="5" fillId="0" borderId="4" xfId="0" applyFont="1" applyBorder="1" applyAlignment="1" applyProtection="1">
      <alignment horizontal="left" vertical="top"/>
      <protection hidden="1"/>
    </xf>
    <xf numFmtId="0" fontId="5" fillId="0" borderId="30" xfId="0" applyFont="1" applyBorder="1" applyAlignment="1" applyProtection="1">
      <alignment horizontal="left" vertical="top"/>
      <protection hidden="1"/>
    </xf>
    <xf numFmtId="0" fontId="5" fillId="0" borderId="0" xfId="0" applyFont="1" applyBorder="1" applyAlignment="1" applyProtection="1">
      <alignment horizontal="left" vertical="top"/>
      <protection hidden="1"/>
    </xf>
    <xf numFmtId="0" fontId="24" fillId="0" borderId="0" xfId="0" applyFont="1" applyBorder="1" applyAlignment="1" applyProtection="1">
      <alignment horizontal="center" vertical="center"/>
      <protection hidden="1"/>
    </xf>
    <xf numFmtId="0" fontId="26" fillId="0" borderId="0" xfId="0" applyFont="1" applyAlignment="1">
      <alignment horizontal="center" vertical="center"/>
    </xf>
    <xf numFmtId="0" fontId="5" fillId="0" borderId="71" xfId="0" applyFont="1" applyBorder="1" applyAlignment="1" applyProtection="1">
      <alignment horizontal="center" vertical="center" textRotation="90" wrapText="1"/>
      <protection hidden="1"/>
    </xf>
    <xf numFmtId="0" fontId="5" fillId="0" borderId="49" xfId="0" applyFont="1" applyBorder="1" applyAlignment="1" applyProtection="1">
      <alignment horizontal="center" vertical="center" textRotation="90" wrapText="1"/>
      <protection hidden="1"/>
    </xf>
    <xf numFmtId="0" fontId="32" fillId="0" borderId="0" xfId="0" applyFont="1" applyBorder="1" applyAlignment="1" applyProtection="1">
      <alignment horizontal="center" vertical="center"/>
      <protection hidden="1"/>
    </xf>
    <xf numFmtId="0" fontId="4" fillId="0" borderId="28" xfId="0" applyFont="1" applyBorder="1" applyAlignment="1" applyProtection="1">
      <alignment horizontal="left" vertical="center"/>
      <protection hidden="1"/>
    </xf>
    <xf numFmtId="0" fontId="4" fillId="0" borderId="69" xfId="0" applyFont="1" applyBorder="1" applyAlignment="1" applyProtection="1">
      <alignment horizontal="left" vertical="center"/>
      <protection hidden="1"/>
    </xf>
    <xf numFmtId="0" fontId="4" fillId="0" borderId="6" xfId="0" applyFont="1" applyBorder="1" applyAlignment="1" applyProtection="1">
      <alignment horizontal="center" vertical="center"/>
      <protection locked="0" hidden="1"/>
    </xf>
    <xf numFmtId="0" fontId="4" fillId="0" borderId="32" xfId="0" applyFont="1" applyBorder="1" applyAlignment="1" applyProtection="1">
      <alignment horizontal="center" vertical="center"/>
      <protection locked="0" hidden="1"/>
    </xf>
    <xf numFmtId="0" fontId="7" fillId="0" borderId="28" xfId="0" applyFont="1" applyBorder="1" applyAlignment="1" applyProtection="1">
      <alignment horizontal="center" vertical="center" wrapText="1"/>
      <protection locked="0" hidden="1"/>
    </xf>
    <xf numFmtId="0" fontId="7" fillId="0" borderId="9" xfId="0" applyFont="1" applyBorder="1" applyAlignment="1" applyProtection="1">
      <alignment horizontal="center" vertical="center" wrapText="1"/>
      <protection locked="0" hidden="1"/>
    </xf>
    <xf numFmtId="0" fontId="5" fillId="0" borderId="57" xfId="0" applyFont="1" applyBorder="1" applyAlignment="1" applyProtection="1">
      <alignment horizontal="center"/>
      <protection locked="0" hidden="1"/>
    </xf>
    <xf numFmtId="0" fontId="5" fillId="0" borderId="50" xfId="0" applyFont="1" applyBorder="1" applyAlignment="1" applyProtection="1">
      <alignment horizontal="center"/>
      <protection locked="0" hidden="1"/>
    </xf>
    <xf numFmtId="0" fontId="6" fillId="0" borderId="70" xfId="0" applyFont="1" applyBorder="1" applyAlignment="1" applyProtection="1">
      <alignment horizontal="left"/>
      <protection hidden="1"/>
    </xf>
    <xf numFmtId="2" fontId="4" fillId="0" borderId="13" xfId="0" applyNumberFormat="1" applyFont="1" applyBorder="1" applyAlignment="1" applyProtection="1">
      <alignment horizontal="center" vertical="center" textRotation="90"/>
      <protection hidden="1"/>
    </xf>
    <xf numFmtId="2" fontId="4" fillId="0" borderId="65" xfId="0" applyNumberFormat="1" applyFont="1" applyBorder="1" applyAlignment="1" applyProtection="1">
      <alignment horizontal="center" vertical="center" textRotation="90"/>
      <protection hidden="1"/>
    </xf>
    <xf numFmtId="2" fontId="4" fillId="0" borderId="6" xfId="0" applyNumberFormat="1" applyFont="1" applyBorder="1" applyAlignment="1" applyProtection="1">
      <alignment horizontal="center" vertical="center" textRotation="90"/>
      <protection hidden="1"/>
    </xf>
    <xf numFmtId="2" fontId="2" fillId="2" borderId="12" xfId="0" applyNumberFormat="1" applyFont="1" applyFill="1" applyBorder="1" applyAlignment="1" applyProtection="1">
      <alignment horizontal="center" vertical="center" wrapText="1"/>
      <protection locked="0" hidden="1"/>
    </xf>
    <xf numFmtId="0" fontId="13" fillId="0" borderId="11" xfId="0" applyFont="1" applyBorder="1" applyAlignment="1" applyProtection="1">
      <alignment horizontal="center" vertical="center" wrapText="1"/>
      <protection hidden="1"/>
    </xf>
    <xf numFmtId="0" fontId="14" fillId="0" borderId="11" xfId="0" applyFont="1" applyBorder="1" applyAlignment="1" applyProtection="1">
      <alignment horizontal="center" vertical="center" textRotation="90" wrapText="1"/>
      <protection locked="0" hidden="1"/>
    </xf>
    <xf numFmtId="0" fontId="5" fillId="0" borderId="25" xfId="0" applyFont="1" applyBorder="1" applyAlignment="1" applyProtection="1">
      <alignment horizontal="center" vertical="center" wrapText="1"/>
      <protection hidden="1"/>
    </xf>
    <xf numFmtId="0" fontId="5" fillId="0" borderId="7" xfId="0" applyFont="1" applyBorder="1" applyAlignment="1" applyProtection="1">
      <alignment horizontal="center" vertical="center" wrapText="1"/>
      <protection hidden="1"/>
    </xf>
    <xf numFmtId="166" fontId="5" fillId="0" borderId="66" xfId="0" applyNumberFormat="1" applyFont="1" applyBorder="1" applyAlignment="1" applyProtection="1">
      <alignment horizontal="center" vertical="center" wrapText="1"/>
      <protection hidden="1"/>
    </xf>
    <xf numFmtId="0" fontId="8" fillId="0" borderId="26" xfId="0" applyFont="1" applyBorder="1" applyAlignment="1" applyProtection="1">
      <alignment horizontal="center" vertical="center" textRotation="90" wrapText="1"/>
      <protection hidden="1"/>
    </xf>
    <xf numFmtId="0" fontId="8" fillId="0" borderId="0" xfId="0" applyFont="1" applyBorder="1" applyAlignment="1" applyProtection="1">
      <alignment horizontal="center" vertical="center" textRotation="90" wrapText="1"/>
      <protection hidden="1"/>
    </xf>
    <xf numFmtId="0" fontId="8" fillId="0" borderId="47" xfId="0" applyFont="1" applyBorder="1" applyAlignment="1" applyProtection="1">
      <alignment horizontal="center" vertical="center" textRotation="90" wrapText="1"/>
      <protection hidden="1"/>
    </xf>
    <xf numFmtId="0" fontId="20" fillId="0" borderId="4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 wrapText="1"/>
    </xf>
    <xf numFmtId="0" fontId="0" fillId="0" borderId="47" xfId="0" applyBorder="1" applyAlignment="1" applyProtection="1">
      <alignment horizontal="center" vertical="center" wrapText="1"/>
    </xf>
    <xf numFmtId="0" fontId="5" fillId="0" borderId="18" xfId="0" applyFont="1" applyBorder="1" applyAlignment="1" applyProtection="1">
      <alignment horizontal="center" vertical="center"/>
      <protection hidden="1"/>
    </xf>
    <xf numFmtId="0" fontId="5" fillId="0" borderId="56" xfId="0" applyFont="1" applyBorder="1" applyAlignment="1" applyProtection="1">
      <alignment horizontal="center" vertical="center"/>
      <protection hidden="1"/>
    </xf>
    <xf numFmtId="0" fontId="5" fillId="0" borderId="67" xfId="0" applyFont="1" applyBorder="1" applyAlignment="1" applyProtection="1">
      <alignment horizontal="center" vertical="center" wrapText="1"/>
      <protection hidden="1"/>
    </xf>
    <xf numFmtId="0" fontId="5" fillId="0" borderId="25" xfId="0" applyFont="1" applyBorder="1" applyAlignment="1" applyProtection="1">
      <alignment horizontal="left" vertical="center" wrapText="1"/>
      <protection hidden="1"/>
    </xf>
    <xf numFmtId="0" fontId="5" fillId="0" borderId="67" xfId="0" applyFont="1" applyBorder="1" applyAlignment="1" applyProtection="1">
      <alignment horizontal="left" vertical="center" wrapText="1"/>
      <protection hidden="1"/>
    </xf>
    <xf numFmtId="0" fontId="5" fillId="0" borderId="7" xfId="0" applyFont="1" applyBorder="1" applyAlignment="1" applyProtection="1">
      <alignment horizontal="left" vertical="center" wrapText="1"/>
      <protection hidden="1"/>
    </xf>
    <xf numFmtId="0" fontId="4" fillId="0" borderId="65" xfId="0" applyFont="1" applyBorder="1" applyAlignment="1" applyProtection="1">
      <alignment horizontal="center" vertical="center" textRotation="90"/>
      <protection hidden="1"/>
    </xf>
    <xf numFmtId="0" fontId="4" fillId="0" borderId="6" xfId="0" applyFont="1" applyBorder="1" applyAlignment="1" applyProtection="1">
      <alignment horizontal="center" vertical="center" textRotation="90"/>
      <protection hidden="1"/>
    </xf>
    <xf numFmtId="0" fontId="12" fillId="0" borderId="18" xfId="0" applyFont="1" applyBorder="1" applyAlignment="1" applyProtection="1">
      <alignment horizontal="center" vertical="center" textRotation="90"/>
      <protection hidden="1"/>
    </xf>
    <xf numFmtId="0" fontId="14" fillId="0" borderId="0" xfId="0" applyFont="1" applyBorder="1" applyAlignment="1" applyProtection="1">
      <alignment horizontal="center" vertical="center" wrapText="1"/>
      <protection hidden="1"/>
    </xf>
    <xf numFmtId="0" fontId="14" fillId="0" borderId="67" xfId="0" applyFont="1" applyBorder="1" applyAlignment="1" applyProtection="1">
      <alignment horizontal="center" vertical="center" wrapText="1"/>
      <protection hidden="1"/>
    </xf>
    <xf numFmtId="0" fontId="14" fillId="0" borderId="33" xfId="0" applyFont="1" applyBorder="1" applyAlignment="1" applyProtection="1">
      <alignment horizontal="center" vertical="center" wrapText="1"/>
      <protection hidden="1"/>
    </xf>
    <xf numFmtId="0" fontId="14" fillId="0" borderId="7" xfId="0" applyFont="1" applyBorder="1" applyAlignment="1" applyProtection="1">
      <alignment horizontal="center" vertical="center" wrapText="1"/>
      <protection hidden="1"/>
    </xf>
    <xf numFmtId="2" fontId="5" fillId="0" borderId="21" xfId="0" applyNumberFormat="1" applyFont="1" applyBorder="1" applyAlignment="1" applyProtection="1">
      <alignment horizontal="right" vertical="center" wrapText="1"/>
      <protection hidden="1"/>
    </xf>
    <xf numFmtId="2" fontId="5" fillId="0" borderId="36" xfId="0" applyNumberFormat="1" applyFont="1" applyBorder="1" applyAlignment="1" applyProtection="1">
      <alignment horizontal="right" vertical="center" wrapText="1"/>
      <protection hidden="1"/>
    </xf>
    <xf numFmtId="2" fontId="5" fillId="0" borderId="63" xfId="0" applyNumberFormat="1" applyFont="1" applyBorder="1" applyAlignment="1" applyProtection="1">
      <alignment horizontal="right" vertical="center" wrapText="1"/>
      <protection hidden="1"/>
    </xf>
    <xf numFmtId="0" fontId="14" fillId="0" borderId="57" xfId="0" applyFont="1" applyBorder="1" applyAlignment="1" applyProtection="1">
      <alignment horizontal="left" vertical="center" wrapText="1"/>
      <protection hidden="1"/>
    </xf>
    <xf numFmtId="0" fontId="35" fillId="0" borderId="0" xfId="0" applyFont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 wrapText="1"/>
      <protection locked="0" hidden="1"/>
    </xf>
    <xf numFmtId="2" fontId="5" fillId="0" borderId="18" xfId="0" applyNumberFormat="1" applyFont="1" applyBorder="1" applyAlignment="1" applyProtection="1">
      <alignment horizontal="center"/>
      <protection locked="0" hidden="1"/>
    </xf>
    <xf numFmtId="0" fontId="5" fillId="0" borderId="73" xfId="0" applyFont="1" applyBorder="1" applyAlignment="1" applyProtection="1">
      <alignment horizontal="center" vertical="center" wrapText="1"/>
      <protection hidden="1"/>
    </xf>
    <xf numFmtId="0" fontId="3" fillId="0" borderId="44" xfId="0" applyFont="1" applyBorder="1" applyAlignment="1" applyProtection="1">
      <alignment horizontal="center" vertical="center" wrapText="1"/>
      <protection hidden="1"/>
    </xf>
    <xf numFmtId="0" fontId="3" fillId="0" borderId="4" xfId="0" applyFont="1" applyBorder="1" applyAlignment="1" applyProtection="1">
      <alignment horizontal="center" vertical="center" wrapText="1"/>
      <protection hidden="1"/>
    </xf>
    <xf numFmtId="0" fontId="3" fillId="0" borderId="5" xfId="0" applyFont="1" applyBorder="1" applyAlignment="1" applyProtection="1">
      <alignment horizontal="center" vertical="center" wrapText="1"/>
      <protection hidden="1"/>
    </xf>
    <xf numFmtId="0" fontId="3" fillId="0" borderId="30" xfId="0" applyFont="1" applyBorder="1" applyAlignment="1" applyProtection="1">
      <alignment horizontal="center" vertical="center" wrapText="1"/>
      <protection hidden="1"/>
    </xf>
    <xf numFmtId="0" fontId="3" fillId="0" borderId="0" xfId="0" applyFont="1" applyBorder="1" applyAlignment="1" applyProtection="1">
      <alignment horizontal="center" vertical="center" wrapText="1"/>
      <protection hidden="1"/>
    </xf>
    <xf numFmtId="0" fontId="3" fillId="0" borderId="45" xfId="0" applyFont="1" applyBorder="1" applyAlignment="1" applyProtection="1">
      <alignment horizontal="center" vertical="center" wrapText="1"/>
      <protection hidden="1"/>
    </xf>
    <xf numFmtId="2" fontId="5" fillId="0" borderId="56" xfId="0" applyNumberFormat="1" applyFont="1" applyFill="1" applyBorder="1" applyAlignment="1" applyProtection="1">
      <alignment horizontal="center" vertical="center" wrapText="1"/>
      <protection hidden="1"/>
    </xf>
    <xf numFmtId="2" fontId="5" fillId="0" borderId="38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23" xfId="0" applyFont="1" applyBorder="1" applyAlignment="1" applyProtection="1">
      <alignment horizontal="left" vertical="center" wrapText="1"/>
      <protection hidden="1"/>
    </xf>
    <xf numFmtId="0" fontId="4" fillId="0" borderId="26" xfId="0" applyFont="1" applyBorder="1" applyAlignment="1" applyProtection="1">
      <alignment horizontal="left" vertical="center" wrapText="1"/>
      <protection hidden="1"/>
    </xf>
    <xf numFmtId="0" fontId="4" fillId="0" borderId="0" xfId="0" applyFont="1" applyBorder="1" applyAlignment="1" applyProtection="1">
      <alignment horizontal="left" vertical="center" wrapText="1"/>
      <protection hidden="1"/>
    </xf>
    <xf numFmtId="0" fontId="4" fillId="0" borderId="24" xfId="0" applyFont="1" applyBorder="1" applyAlignment="1" applyProtection="1">
      <alignment horizontal="left" vertical="center" wrapText="1"/>
      <protection hidden="1"/>
    </xf>
    <xf numFmtId="0" fontId="19" fillId="0" borderId="33" xfId="0" applyFont="1" applyBorder="1" applyAlignment="1">
      <alignment horizontal="left"/>
    </xf>
    <xf numFmtId="0" fontId="19" fillId="0" borderId="62" xfId="0" applyFont="1" applyBorder="1" applyAlignment="1">
      <alignment horizontal="left"/>
    </xf>
    <xf numFmtId="0" fontId="5" fillId="0" borderId="66" xfId="0" applyFont="1" applyBorder="1" applyAlignment="1" applyProtection="1">
      <alignment horizontal="left" vertical="center" wrapText="1"/>
      <protection hidden="1"/>
    </xf>
    <xf numFmtId="0" fontId="5" fillId="0" borderId="0" xfId="0" applyFont="1" applyBorder="1" applyAlignment="1" applyProtection="1">
      <alignment horizontal="left" vertical="center" wrapText="1"/>
      <protection hidden="1"/>
    </xf>
    <xf numFmtId="0" fontId="5" fillId="0" borderId="45" xfId="0" applyFont="1" applyBorder="1" applyAlignment="1" applyProtection="1">
      <alignment horizontal="left" vertical="center" wrapText="1"/>
      <protection hidden="1"/>
    </xf>
    <xf numFmtId="0" fontId="5" fillId="0" borderId="33" xfId="0" applyFont="1" applyBorder="1" applyAlignment="1" applyProtection="1">
      <alignment horizontal="left" vertical="center" wrapText="1"/>
      <protection hidden="1"/>
    </xf>
    <xf numFmtId="0" fontId="5" fillId="0" borderId="15" xfId="0" applyFont="1" applyBorder="1" applyAlignment="1" applyProtection="1">
      <alignment horizontal="left" vertical="center" wrapText="1"/>
      <protection hidden="1"/>
    </xf>
    <xf numFmtId="2" fontId="5" fillId="2" borderId="12" xfId="0" applyNumberFormat="1" applyFont="1" applyFill="1" applyBorder="1" applyAlignment="1" applyProtection="1">
      <alignment horizontal="center" vertical="center" wrapText="1"/>
      <protection hidden="1"/>
    </xf>
    <xf numFmtId="2" fontId="5" fillId="2" borderId="14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12" xfId="0" applyFont="1" applyBorder="1" applyAlignment="1" applyProtection="1">
      <alignment horizontal="center" vertical="center" wrapText="1"/>
      <protection hidden="1"/>
    </xf>
    <xf numFmtId="2" fontId="5" fillId="0" borderId="3" xfId="0" applyNumberFormat="1" applyFont="1" applyFill="1" applyBorder="1" applyAlignment="1" applyProtection="1">
      <alignment horizontal="center" vertical="center" wrapText="1"/>
      <protection hidden="1"/>
    </xf>
    <xf numFmtId="166" fontId="5" fillId="0" borderId="71" xfId="0" applyNumberFormat="1" applyFont="1" applyBorder="1" applyAlignment="1" applyProtection="1">
      <alignment horizontal="center" vertical="center" wrapText="1"/>
      <protection hidden="1"/>
    </xf>
    <xf numFmtId="166" fontId="5" fillId="0" borderId="37" xfId="0" applyNumberFormat="1" applyFont="1" applyBorder="1" applyAlignment="1" applyProtection="1">
      <alignment horizontal="center" vertical="center" wrapText="1"/>
      <protection hidden="1"/>
    </xf>
    <xf numFmtId="166" fontId="5" fillId="0" borderId="32" xfId="0" applyNumberFormat="1" applyFont="1" applyBorder="1" applyAlignment="1" applyProtection="1">
      <alignment horizontal="center" vertical="center" wrapText="1"/>
      <protection hidden="1"/>
    </xf>
    <xf numFmtId="0" fontId="5" fillId="0" borderId="11" xfId="0" applyFont="1" applyBorder="1" applyAlignment="1" applyProtection="1">
      <alignment horizontal="center" vertical="center" textRotation="90" wrapText="1"/>
      <protection hidden="1"/>
    </xf>
    <xf numFmtId="0" fontId="19" fillId="0" borderId="18" xfId="0" applyFont="1" applyBorder="1" applyAlignment="1">
      <alignment horizontal="left"/>
    </xf>
    <xf numFmtId="0" fontId="19" fillId="0" borderId="22" xfId="0" applyFont="1" applyBorder="1" applyAlignment="1">
      <alignment horizontal="left"/>
    </xf>
    <xf numFmtId="0" fontId="5" fillId="0" borderId="64" xfId="0" applyFont="1" applyBorder="1" applyAlignment="1" applyProtection="1">
      <alignment horizontal="left" vertical="top" wrapText="1"/>
      <protection hidden="1"/>
    </xf>
    <xf numFmtId="0" fontId="5" fillId="0" borderId="19" xfId="0" applyFont="1" applyBorder="1" applyAlignment="1" applyProtection="1">
      <alignment horizontal="left" vertical="top" wrapText="1"/>
      <protection hidden="1"/>
    </xf>
    <xf numFmtId="0" fontId="5" fillId="0" borderId="20" xfId="0" applyFont="1" applyBorder="1" applyAlignment="1" applyProtection="1">
      <alignment horizontal="left" vertical="top" wrapText="1"/>
      <protection hidden="1"/>
    </xf>
    <xf numFmtId="0" fontId="0" fillId="0" borderId="16" xfId="0" applyBorder="1" applyAlignment="1">
      <alignment horizontal="center"/>
    </xf>
    <xf numFmtId="0" fontId="0" fillId="0" borderId="18" xfId="0" applyBorder="1" applyAlignment="1">
      <alignment horizontal="center"/>
    </xf>
    <xf numFmtId="0" fontId="5" fillId="0" borderId="72" xfId="0" applyFont="1" applyBorder="1" applyAlignment="1" applyProtection="1">
      <alignment horizontal="left" vertical="center" wrapText="1"/>
      <protection hidden="1"/>
    </xf>
    <xf numFmtId="0" fontId="5" fillId="0" borderId="4" xfId="0" applyFont="1" applyBorder="1" applyAlignment="1" applyProtection="1">
      <alignment horizontal="left" vertical="center" wrapText="1"/>
      <protection hidden="1"/>
    </xf>
    <xf numFmtId="0" fontId="5" fillId="0" borderId="5" xfId="0" applyFont="1" applyBorder="1" applyAlignment="1" applyProtection="1">
      <alignment horizontal="left" vertical="center" wrapText="1"/>
      <protection hidden="1"/>
    </xf>
    <xf numFmtId="0" fontId="5" fillId="0" borderId="59" xfId="0" applyFont="1" applyBorder="1" applyAlignment="1" applyProtection="1">
      <alignment horizontal="center" vertical="center" wrapText="1"/>
      <protection hidden="1"/>
    </xf>
    <xf numFmtId="0" fontId="5" fillId="0" borderId="9" xfId="0" applyFont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horizontal="center" vertical="center" wrapText="1"/>
      <protection hidden="1"/>
    </xf>
    <xf numFmtId="0" fontId="6" fillId="0" borderId="13" xfId="0" applyFont="1" applyBorder="1" applyAlignment="1" applyProtection="1">
      <alignment horizontal="center" vertical="center" textRotation="90" wrapText="1"/>
      <protection hidden="1"/>
    </xf>
    <xf numFmtId="0" fontId="6" fillId="0" borderId="65" xfId="0" applyFont="1" applyBorder="1" applyAlignment="1" applyProtection="1">
      <alignment horizontal="center" vertical="center" textRotation="90" wrapText="1"/>
      <protection hidden="1"/>
    </xf>
    <xf numFmtId="0" fontId="6" fillId="0" borderId="6" xfId="0" applyFont="1" applyBorder="1" applyAlignment="1" applyProtection="1">
      <alignment horizontal="center" vertical="center" textRotation="90" wrapText="1"/>
      <protection hidden="1"/>
    </xf>
    <xf numFmtId="0" fontId="2" fillId="0" borderId="11" xfId="0" applyFont="1" applyBorder="1" applyAlignment="1" applyProtection="1">
      <alignment horizontal="center" vertical="center" textRotation="90" wrapText="1"/>
      <protection hidden="1"/>
    </xf>
    <xf numFmtId="0" fontId="3" fillId="0" borderId="46" xfId="0" applyFont="1" applyBorder="1" applyAlignment="1" applyProtection="1">
      <alignment horizontal="center" vertical="center" wrapText="1"/>
      <protection hidden="1"/>
    </xf>
    <xf numFmtId="0" fontId="3" fillId="0" borderId="47" xfId="0" applyFont="1" applyBorder="1" applyAlignment="1" applyProtection="1">
      <alignment horizontal="center" vertical="center" wrapText="1"/>
      <protection hidden="1"/>
    </xf>
    <xf numFmtId="0" fontId="3" fillId="0" borderId="35" xfId="0" applyFont="1" applyBorder="1" applyAlignment="1" applyProtection="1">
      <alignment horizontal="center" vertical="center" wrapText="1"/>
      <protection hidden="1"/>
    </xf>
    <xf numFmtId="166" fontId="5" fillId="0" borderId="18" xfId="0" applyNumberFormat="1" applyFont="1" applyBorder="1" applyAlignment="1" applyProtection="1">
      <alignment horizontal="center" vertical="center" wrapText="1"/>
      <protection hidden="1"/>
    </xf>
    <xf numFmtId="0" fontId="6" fillId="0" borderId="69" xfId="0" applyFont="1" applyBorder="1" applyAlignment="1" applyProtection="1">
      <alignment horizontal="center" vertical="center"/>
      <protection hidden="1"/>
    </xf>
    <xf numFmtId="0" fontId="6" fillId="0" borderId="9" xfId="0" applyFont="1" applyBorder="1" applyAlignment="1" applyProtection="1">
      <alignment horizontal="center" vertical="center"/>
      <protection hidden="1"/>
    </xf>
    <xf numFmtId="0" fontId="14" fillId="0" borderId="26" xfId="0" applyFont="1" applyBorder="1" applyAlignment="1" applyProtection="1">
      <alignment horizontal="center" vertical="center" wrapText="1"/>
      <protection hidden="1"/>
    </xf>
    <xf numFmtId="0" fontId="14" fillId="0" borderId="25" xfId="0" applyFont="1" applyBorder="1" applyAlignment="1" applyProtection="1">
      <alignment horizontal="center" vertical="center" wrapText="1"/>
      <protection hidden="1"/>
    </xf>
    <xf numFmtId="0" fontId="5" fillId="0" borderId="23" xfId="0" applyFont="1" applyBorder="1" applyAlignment="1" applyProtection="1">
      <alignment horizontal="left" vertical="center" wrapText="1"/>
      <protection hidden="1"/>
    </xf>
    <xf numFmtId="0" fontId="5" fillId="0" borderId="24" xfId="0" applyFont="1" applyBorder="1" applyAlignment="1" applyProtection="1">
      <alignment horizontal="left" vertical="center" wrapText="1"/>
      <protection hidden="1"/>
    </xf>
    <xf numFmtId="2" fontId="15" fillId="0" borderId="36" xfId="0" applyNumberFormat="1" applyFont="1" applyFill="1" applyBorder="1" applyAlignment="1" applyProtection="1">
      <alignment horizontal="center" vertical="center" wrapText="1"/>
      <protection hidden="1"/>
    </xf>
    <xf numFmtId="2" fontId="15" fillId="0" borderId="21" xfId="0" applyNumberFormat="1" applyFont="1" applyFill="1" applyBorder="1" applyAlignment="1" applyProtection="1">
      <alignment horizontal="center" vertical="center" wrapText="1"/>
      <protection hidden="1"/>
    </xf>
    <xf numFmtId="2" fontId="15" fillId="0" borderId="63" xfId="0" applyNumberFormat="1" applyFont="1" applyFill="1" applyBorder="1" applyAlignment="1" applyProtection="1">
      <alignment horizontal="center" vertical="center" wrapText="1"/>
      <protection hidden="1"/>
    </xf>
    <xf numFmtId="0" fontId="15" fillId="0" borderId="27" xfId="0" applyFont="1" applyFill="1" applyBorder="1" applyAlignment="1" applyProtection="1">
      <alignment horizontal="center" vertical="center" wrapText="1"/>
      <protection hidden="1"/>
    </xf>
    <xf numFmtId="14" fontId="6" fillId="0" borderId="11" xfId="0" applyNumberFormat="1" applyFont="1" applyBorder="1" applyAlignment="1" applyProtection="1">
      <alignment horizontal="center" vertical="center" textRotation="90" wrapText="1"/>
      <protection hidden="1"/>
    </xf>
    <xf numFmtId="0" fontId="6" fillId="0" borderId="11" xfId="0" applyFont="1" applyBorder="1" applyAlignment="1" applyProtection="1">
      <alignment horizontal="center" vertical="center" textRotation="90" wrapText="1"/>
      <protection hidden="1"/>
    </xf>
    <xf numFmtId="0" fontId="2" fillId="0" borderId="16" xfId="0" applyFont="1" applyBorder="1" applyAlignment="1" applyProtection="1">
      <alignment horizontal="center" vertical="center" wrapText="1"/>
      <protection hidden="1"/>
    </xf>
    <xf numFmtId="0" fontId="2" fillId="0" borderId="18" xfId="0" applyFont="1" applyBorder="1" applyAlignment="1" applyProtection="1">
      <alignment horizontal="center" vertical="center" wrapText="1"/>
      <protection hidden="1"/>
    </xf>
    <xf numFmtId="0" fontId="14" fillId="0" borderId="66" xfId="0" applyFont="1" applyBorder="1" applyAlignment="1" applyProtection="1">
      <alignment horizontal="center" vertical="center" wrapText="1"/>
      <protection hidden="1"/>
    </xf>
    <xf numFmtId="0" fontId="13" fillId="0" borderId="13" xfId="0" applyFont="1" applyBorder="1" applyAlignment="1" applyProtection="1">
      <alignment horizontal="center" vertical="center" wrapText="1"/>
      <protection hidden="1"/>
    </xf>
    <xf numFmtId="0" fontId="13" fillId="0" borderId="6" xfId="0" applyFont="1" applyBorder="1" applyAlignment="1" applyProtection="1">
      <alignment horizontal="center" vertical="center" wrapText="1"/>
      <protection hidden="1"/>
    </xf>
    <xf numFmtId="2" fontId="14" fillId="0" borderId="24" xfId="0" applyNumberFormat="1" applyFont="1" applyBorder="1" applyAlignment="1" applyProtection="1">
      <alignment horizontal="center" vertical="center" wrapText="1"/>
      <protection hidden="1"/>
    </xf>
    <xf numFmtId="2" fontId="14" fillId="0" borderId="15" xfId="0" applyNumberFormat="1" applyFont="1" applyBorder="1" applyAlignment="1" applyProtection="1">
      <alignment horizontal="center" vertical="center" wrapText="1"/>
      <protection hidden="1"/>
    </xf>
    <xf numFmtId="2" fontId="15" fillId="0" borderId="59" xfId="0" applyNumberFormat="1" applyFont="1" applyFill="1" applyBorder="1" applyAlignment="1" applyProtection="1">
      <alignment horizontal="center" vertical="center" wrapText="1"/>
      <protection hidden="1"/>
    </xf>
    <xf numFmtId="2" fontId="15" fillId="0" borderId="12" xfId="0" applyNumberFormat="1" applyFont="1" applyFill="1" applyBorder="1" applyAlignment="1" applyProtection="1">
      <alignment horizontal="center" vertical="center" wrapText="1"/>
      <protection hidden="1"/>
    </xf>
    <xf numFmtId="2" fontId="5" fillId="2" borderId="59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32" xfId="0" applyFont="1" applyBorder="1" applyAlignment="1" applyProtection="1">
      <alignment horizontal="center" vertical="center" wrapText="1"/>
      <protection hidden="1"/>
    </xf>
    <xf numFmtId="0" fontId="17" fillId="0" borderId="26" xfId="0" applyFont="1" applyBorder="1"/>
    <xf numFmtId="0" fontId="17" fillId="0" borderId="24" xfId="0" applyFont="1" applyBorder="1"/>
    <xf numFmtId="0" fontId="17" fillId="0" borderId="66" xfId="0" applyFont="1" applyBorder="1"/>
    <xf numFmtId="0" fontId="17" fillId="0" borderId="0" xfId="0" applyFont="1" applyBorder="1"/>
    <xf numFmtId="0" fontId="17" fillId="0" borderId="45" xfId="0" applyFont="1" applyBorder="1"/>
    <xf numFmtId="0" fontId="5" fillId="0" borderId="44" xfId="0" applyFont="1" applyBorder="1" applyAlignment="1" applyProtection="1">
      <alignment vertical="top" wrapText="1"/>
      <protection hidden="1"/>
    </xf>
    <xf numFmtId="0" fontId="0" fillId="0" borderId="4" xfId="0" applyBorder="1" applyAlignment="1">
      <alignment vertical="top" wrapText="1"/>
    </xf>
    <xf numFmtId="0" fontId="27" fillId="0" borderId="4" xfId="0" applyFont="1" applyBorder="1" applyAlignment="1" applyProtection="1">
      <alignment horizontal="center" vertical="center" wrapText="1"/>
      <protection hidden="1"/>
    </xf>
    <xf numFmtId="0" fontId="27" fillId="0" borderId="4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47" xfId="0" applyFont="1" applyBorder="1" applyAlignment="1">
      <alignment horizontal="center" vertical="center" wrapText="1"/>
    </xf>
    <xf numFmtId="0" fontId="27" fillId="0" borderId="35" xfId="0" applyFont="1" applyBorder="1" applyAlignment="1">
      <alignment horizontal="center" vertical="center" wrapText="1"/>
    </xf>
    <xf numFmtId="0" fontId="28" fillId="0" borderId="4" xfId="0" applyFont="1" applyBorder="1" applyAlignment="1" applyProtection="1">
      <alignment horizontal="center" vertical="center" wrapText="1"/>
      <protection hidden="1"/>
    </xf>
    <xf numFmtId="0" fontId="28" fillId="0" borderId="4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28" fillId="0" borderId="47" xfId="0" applyFont="1" applyBorder="1" applyAlignment="1">
      <alignment horizontal="center" vertical="center" wrapText="1"/>
    </xf>
    <xf numFmtId="0" fontId="28" fillId="0" borderId="35" xfId="0" applyFont="1" applyBorder="1" applyAlignment="1">
      <alignment horizontal="center" vertical="center" wrapText="1"/>
    </xf>
    <xf numFmtId="0" fontId="8" fillId="0" borderId="74" xfId="0" applyFont="1" applyBorder="1" applyAlignment="1" applyProtection="1">
      <alignment horizontal="left" vertical="center" wrapText="1"/>
      <protection hidden="1"/>
    </xf>
    <xf numFmtId="0" fontId="8" fillId="0" borderId="60" xfId="0" applyFont="1" applyBorder="1" applyAlignment="1" applyProtection="1">
      <alignment horizontal="left" vertical="center" wrapText="1"/>
      <protection hidden="1"/>
    </xf>
    <xf numFmtId="0" fontId="12" fillId="0" borderId="31" xfId="0" applyFont="1" applyBorder="1" applyAlignment="1" applyProtection="1">
      <alignment horizontal="center" vertical="center" textRotation="90" wrapText="1"/>
      <protection hidden="1"/>
    </xf>
    <xf numFmtId="0" fontId="12" fillId="0" borderId="8" xfId="0" applyFont="1" applyBorder="1" applyAlignment="1" applyProtection="1">
      <alignment horizontal="center" vertical="center" textRotation="90" wrapText="1"/>
      <protection hidden="1"/>
    </xf>
    <xf numFmtId="0" fontId="12" fillId="0" borderId="56" xfId="0" applyFont="1" applyBorder="1" applyAlignment="1" applyProtection="1">
      <alignment horizontal="center" vertical="center" textRotation="90" wrapText="1"/>
      <protection hidden="1"/>
    </xf>
    <xf numFmtId="14" fontId="14" fillId="0" borderId="22" xfId="0" applyNumberFormat="1" applyFont="1" applyBorder="1" applyAlignment="1" applyProtection="1">
      <alignment horizontal="center" vertical="center"/>
      <protection locked="0" hidden="1"/>
    </xf>
    <xf numFmtId="14" fontId="14" fillId="0" borderId="17" xfId="0" applyNumberFormat="1" applyFont="1" applyBorder="1" applyAlignment="1" applyProtection="1">
      <alignment horizontal="center" vertical="center"/>
      <protection locked="0" hidden="1"/>
    </xf>
    <xf numFmtId="0" fontId="8" fillId="0" borderId="17" xfId="0" applyFont="1" applyBorder="1" applyAlignment="1" applyProtection="1">
      <alignment horizontal="center" vertical="center" wrapText="1"/>
      <protection locked="0" hidden="1"/>
    </xf>
    <xf numFmtId="0" fontId="8" fillId="0" borderId="16" xfId="0" applyFont="1" applyBorder="1" applyAlignment="1" applyProtection="1">
      <alignment horizontal="center" vertical="center" wrapText="1"/>
      <protection locked="0" hidden="1"/>
    </xf>
    <xf numFmtId="14" fontId="7" fillId="0" borderId="11" xfId="0" applyNumberFormat="1" applyFont="1" applyBorder="1" applyAlignment="1" applyProtection="1">
      <alignment horizontal="center" vertical="center" textRotation="90" wrapText="1"/>
      <protection locked="0" hidden="1"/>
    </xf>
    <xf numFmtId="0" fontId="7" fillId="0" borderId="11" xfId="0" applyFont="1" applyBorder="1" applyAlignment="1" applyProtection="1">
      <alignment horizontal="center" vertical="center" textRotation="90" wrapText="1"/>
      <protection locked="0" hidden="1"/>
    </xf>
    <xf numFmtId="0" fontId="2" fillId="0" borderId="0" xfId="0" applyFont="1" applyBorder="1" applyAlignment="1" applyProtection="1">
      <alignment horizontal="center" vertical="center" textRotation="90" wrapText="1"/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2" fillId="0" borderId="0" xfId="0" applyFont="1" applyBorder="1" applyAlignment="1" applyProtection="1">
      <alignment horizontal="center" vertical="center" textRotation="90"/>
      <protection hidden="1"/>
    </xf>
    <xf numFmtId="0" fontId="2" fillId="0" borderId="2" xfId="0" applyFont="1" applyBorder="1" applyAlignment="1" applyProtection="1">
      <alignment horizontal="center" vertical="center" textRotation="90"/>
      <protection hidden="1"/>
    </xf>
    <xf numFmtId="0" fontId="2" fillId="0" borderId="11" xfId="0" applyFont="1" applyBorder="1" applyAlignment="1" applyProtection="1">
      <alignment horizontal="center" vertical="center" textRotation="90"/>
      <protection hidden="1"/>
    </xf>
    <xf numFmtId="0" fontId="2" fillId="0" borderId="75" xfId="0" applyFont="1" applyBorder="1" applyAlignment="1" applyProtection="1">
      <alignment horizontal="center" vertical="center" textRotation="90"/>
      <protection hidden="1"/>
    </xf>
    <xf numFmtId="0" fontId="2" fillId="0" borderId="75" xfId="0" applyFont="1" applyBorder="1" applyAlignment="1" applyProtection="1">
      <alignment horizontal="center" vertical="center" textRotation="90" wrapText="1"/>
      <protection hidden="1"/>
    </xf>
    <xf numFmtId="0" fontId="2" fillId="0" borderId="21" xfId="0" applyFont="1" applyBorder="1" applyAlignment="1" applyProtection="1">
      <alignment horizontal="center" vertical="center" textRotation="90" wrapText="1"/>
      <protection hidden="1"/>
    </xf>
    <xf numFmtId="0" fontId="2" fillId="0" borderId="61" xfId="0" applyFont="1" applyBorder="1" applyAlignment="1" applyProtection="1">
      <alignment horizontal="center" vertical="center" textRotation="90" wrapText="1"/>
      <protection hidden="1"/>
    </xf>
    <xf numFmtId="0" fontId="2" fillId="0" borderId="36" xfId="0" applyFont="1" applyBorder="1" applyAlignment="1" applyProtection="1">
      <alignment horizontal="center" vertical="center" textRotation="90" wrapText="1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2" fillId="0" borderId="76" xfId="0" applyFont="1" applyBorder="1" applyAlignment="1" applyProtection="1">
      <alignment horizontal="center" vertical="center" textRotation="90"/>
      <protection hidden="1"/>
    </xf>
    <xf numFmtId="0" fontId="36" fillId="0" borderId="0" xfId="0" applyFont="1" applyBorder="1" applyAlignment="1" applyProtection="1">
      <alignment horizontal="center"/>
      <protection hidden="1"/>
    </xf>
    <xf numFmtId="0" fontId="5" fillId="0" borderId="47" xfId="0" applyFont="1" applyBorder="1" applyAlignment="1" applyProtection="1">
      <alignment horizontal="center"/>
      <protection hidden="1"/>
    </xf>
    <xf numFmtId="0" fontId="5" fillId="0" borderId="47" xfId="0" applyFont="1" applyBorder="1" applyAlignment="1" applyProtection="1">
      <alignment horizontal="center" textRotation="90"/>
      <protection locked="0" hidden="1"/>
    </xf>
    <xf numFmtId="0" fontId="2" fillId="0" borderId="44" xfId="0" applyFont="1" applyBorder="1" applyAlignment="1" applyProtection="1">
      <alignment horizontal="center" vertical="center" textRotation="90"/>
      <protection hidden="1"/>
    </xf>
    <xf numFmtId="0" fontId="2" fillId="0" borderId="4" xfId="0" applyFont="1" applyBorder="1" applyAlignment="1" applyProtection="1">
      <alignment horizontal="center" vertical="center" textRotation="90"/>
      <protection hidden="1"/>
    </xf>
    <xf numFmtId="0" fontId="2" fillId="0" borderId="5" xfId="0" applyFont="1" applyBorder="1" applyAlignment="1" applyProtection="1">
      <alignment horizontal="center" vertical="center" textRotation="90"/>
      <protection hidden="1"/>
    </xf>
    <xf numFmtId="0" fontId="36" fillId="0" borderId="30" xfId="0" applyFont="1" applyBorder="1" applyAlignment="1" applyProtection="1">
      <alignment horizontal="center"/>
      <protection hidden="1"/>
    </xf>
    <xf numFmtId="0" fontId="36" fillId="0" borderId="45" xfId="0" applyFont="1" applyBorder="1" applyAlignment="1" applyProtection="1">
      <alignment horizontal="center"/>
      <protection hidden="1"/>
    </xf>
    <xf numFmtId="0" fontId="5" fillId="0" borderId="46" xfId="0" applyFont="1" applyBorder="1" applyAlignment="1" applyProtection="1">
      <alignment horizontal="center"/>
      <protection hidden="1"/>
    </xf>
    <xf numFmtId="0" fontId="5" fillId="0" borderId="35" xfId="0" applyFont="1" applyBorder="1" applyAlignment="1" applyProtection="1">
      <alignment horizontal="center"/>
      <protection hidden="1"/>
    </xf>
    <xf numFmtId="0" fontId="5" fillId="0" borderId="44" xfId="0" applyFont="1" applyBorder="1" applyAlignment="1" applyProtection="1">
      <alignment horizontal="center" textRotation="90"/>
      <protection locked="0" hidden="1"/>
    </xf>
    <xf numFmtId="0" fontId="5" fillId="0" borderId="4" xfId="0" applyFont="1" applyBorder="1" applyAlignment="1" applyProtection="1">
      <alignment horizontal="center" textRotation="90"/>
      <protection locked="0" hidden="1"/>
    </xf>
    <xf numFmtId="0" fontId="5" fillId="0" borderId="5" xfId="0" applyFont="1" applyBorder="1" applyAlignment="1" applyProtection="1">
      <alignment horizontal="center" textRotation="90"/>
      <protection locked="0" hidden="1"/>
    </xf>
    <xf numFmtId="0" fontId="5" fillId="0" borderId="46" xfId="0" applyFont="1" applyBorder="1" applyAlignment="1" applyProtection="1">
      <alignment horizontal="center" textRotation="90"/>
      <protection locked="0" hidden="1"/>
    </xf>
    <xf numFmtId="0" fontId="5" fillId="0" borderId="35" xfId="0" applyFont="1" applyBorder="1" applyAlignment="1" applyProtection="1">
      <alignment horizontal="center" textRotation="90"/>
      <protection locked="0" hidden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104774</xdr:colOff>
          <xdr:row>0</xdr:row>
          <xdr:rowOff>38100</xdr:rowOff>
        </xdr:from>
        <xdr:to>
          <xdr:col>5</xdr:col>
          <xdr:colOff>104775</xdr:colOff>
          <xdr:row>3</xdr:row>
          <xdr:rowOff>180975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152399</xdr:colOff>
          <xdr:row>0</xdr:row>
          <xdr:rowOff>104775</xdr:rowOff>
        </xdr:from>
        <xdr:to>
          <xdr:col>8</xdr:col>
          <xdr:colOff>47625</xdr:colOff>
          <xdr:row>3</xdr:row>
          <xdr:rowOff>342900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104774</xdr:colOff>
          <xdr:row>0</xdr:row>
          <xdr:rowOff>0</xdr:rowOff>
        </xdr:from>
        <xdr:to>
          <xdr:col>5</xdr:col>
          <xdr:colOff>104775</xdr:colOff>
          <xdr:row>3</xdr:row>
          <xdr:rowOff>133350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104774</xdr:colOff>
          <xdr:row>0</xdr:row>
          <xdr:rowOff>0</xdr:rowOff>
        </xdr:from>
        <xdr:to>
          <xdr:col>5</xdr:col>
          <xdr:colOff>104775</xdr:colOff>
          <xdr:row>3</xdr:row>
          <xdr:rowOff>133350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wmf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P60"/>
  <sheetViews>
    <sheetView workbookViewId="0">
      <selection activeCell="AH8" sqref="AH8"/>
    </sheetView>
  </sheetViews>
  <sheetFormatPr defaultColWidth="9.140625" defaultRowHeight="12.75" x14ac:dyDescent="0.2"/>
  <cols>
    <col min="1" max="1" width="9.140625" style="3"/>
    <col min="2" max="2" width="4.28515625" style="91" customWidth="1"/>
    <col min="3" max="4" width="2" style="77" customWidth="1"/>
    <col min="5" max="5" width="2" style="78" customWidth="1"/>
    <col min="6" max="6" width="4.28515625" style="295" customWidth="1"/>
    <col min="7" max="7" width="4.28515625" style="3" customWidth="1"/>
    <col min="8" max="8" width="11.42578125" style="3" customWidth="1"/>
    <col min="9" max="9" width="9" style="3" customWidth="1"/>
    <col min="10" max="10" width="6.7109375" style="50" customWidth="1"/>
    <col min="11" max="11" width="13" style="3" customWidth="1"/>
    <col min="12" max="12" width="11.5703125" style="53" bestFit="1" customWidth="1"/>
    <col min="13" max="13" width="7.140625" style="3" customWidth="1"/>
    <col min="14" max="14" width="7.42578125" style="79" customWidth="1"/>
    <col min="15" max="15" width="9.28515625" style="3" customWidth="1"/>
    <col min="16" max="17" width="8.28515625" style="3" hidden="1" customWidth="1"/>
    <col min="18" max="18" width="8.7109375" style="3" hidden="1" customWidth="1"/>
    <col min="19" max="19" width="8.28515625" style="53" hidden="1" customWidth="1"/>
    <col min="20" max="20" width="9.140625" style="3" hidden="1" customWidth="1"/>
    <col min="21" max="21" width="13" style="3" hidden="1" customWidth="1"/>
    <col min="22" max="22" width="6" style="53" hidden="1" customWidth="1"/>
    <col min="23" max="23" width="7.140625" style="3" hidden="1" customWidth="1"/>
    <col min="24" max="24" width="6.42578125" style="79" hidden="1" customWidth="1"/>
    <col min="25" max="25" width="11.5703125" style="3" hidden="1" customWidth="1"/>
    <col min="26" max="26" width="11.42578125" style="3" hidden="1" customWidth="1"/>
    <col min="27" max="29" width="5.5703125" style="295" hidden="1" customWidth="1"/>
    <col min="30" max="31" width="9.140625" style="3" hidden="1" customWidth="1"/>
    <col min="32" max="38" width="9.140625" style="3" customWidth="1"/>
    <col min="39" max="42" width="10.28515625" style="3" customWidth="1"/>
    <col min="43" max="16384" width="9.140625" style="3"/>
  </cols>
  <sheetData>
    <row r="1" spans="2:41" ht="13.5" customHeight="1" x14ac:dyDescent="0.2">
      <c r="B1" s="756"/>
      <c r="C1" s="757"/>
      <c r="D1" s="757"/>
      <c r="E1" s="757"/>
      <c r="F1" s="757"/>
      <c r="G1" s="757"/>
      <c r="H1" s="757"/>
      <c r="I1" s="757"/>
      <c r="J1" s="757"/>
      <c r="K1" s="757"/>
      <c r="L1" s="757"/>
      <c r="M1" s="757"/>
      <c r="N1" s="758"/>
      <c r="AA1" s="323"/>
      <c r="AB1" s="323"/>
      <c r="AC1" s="323"/>
    </row>
    <row r="2" spans="2:41" ht="19.5" customHeight="1" x14ac:dyDescent="0.3">
      <c r="B2" s="752" t="s">
        <v>235</v>
      </c>
      <c r="C2" s="746"/>
      <c r="D2" s="746"/>
      <c r="E2" s="746"/>
      <c r="F2" s="746"/>
      <c r="G2" s="746"/>
      <c r="H2" s="746"/>
      <c r="I2" s="746"/>
      <c r="J2" s="746"/>
      <c r="K2" s="746"/>
      <c r="L2" s="746"/>
      <c r="M2" s="746"/>
      <c r="N2" s="753"/>
      <c r="AA2" s="323"/>
      <c r="AB2" s="323"/>
      <c r="AC2" s="323"/>
    </row>
    <row r="3" spans="2:41" ht="18" customHeight="1" x14ac:dyDescent="0.3">
      <c r="B3" s="752" t="s">
        <v>236</v>
      </c>
      <c r="C3" s="746"/>
      <c r="D3" s="746"/>
      <c r="E3" s="746"/>
      <c r="F3" s="746"/>
      <c r="G3" s="746"/>
      <c r="H3" s="746"/>
      <c r="I3" s="746"/>
      <c r="J3" s="746"/>
      <c r="K3" s="746"/>
      <c r="L3" s="746"/>
      <c r="M3" s="746"/>
      <c r="N3" s="753"/>
      <c r="AA3" s="323"/>
      <c r="AB3" s="323"/>
      <c r="AC3" s="323"/>
    </row>
    <row r="4" spans="2:41" ht="21" customHeight="1" thickBot="1" x14ac:dyDescent="0.25">
      <c r="B4" s="759"/>
      <c r="C4" s="748"/>
      <c r="D4" s="748"/>
      <c r="E4" s="748"/>
      <c r="F4" s="748"/>
      <c r="G4" s="748"/>
      <c r="H4" s="748"/>
      <c r="I4" s="748"/>
      <c r="J4" s="748"/>
      <c r="K4" s="748"/>
      <c r="L4" s="748"/>
      <c r="M4" s="748"/>
      <c r="N4" s="760"/>
      <c r="AA4" s="323"/>
      <c r="AB4" s="323"/>
      <c r="AC4" s="323"/>
    </row>
    <row r="5" spans="2:41" s="1" customFormat="1" ht="18.75" customHeight="1" x14ac:dyDescent="0.3">
      <c r="B5" s="261" t="str">
        <f>AB11</f>
        <v/>
      </c>
      <c r="C5" s="409" t="s">
        <v>0</v>
      </c>
      <c r="D5" s="409"/>
      <c r="E5" s="55" t="s">
        <v>1</v>
      </c>
      <c r="F5" s="410" t="s">
        <v>230</v>
      </c>
      <c r="G5" s="411"/>
      <c r="H5" s="411"/>
      <c r="I5" s="411"/>
      <c r="J5" s="411"/>
      <c r="K5" s="411"/>
      <c r="L5" s="411"/>
      <c r="M5" s="411"/>
      <c r="N5" s="412"/>
      <c r="U5" s="137"/>
      <c r="V5" s="137"/>
      <c r="W5" s="137"/>
      <c r="Y5" s="137"/>
      <c r="AA5" s="136"/>
      <c r="AB5" s="136" t="str">
        <f>IF(B6&gt;239.99,"II","")</f>
        <v/>
      </c>
      <c r="AC5" s="136" t="str">
        <f>IF(B6&gt;254.99,"I","")</f>
        <v/>
      </c>
    </row>
    <row r="6" spans="2:41" ht="13.5" customHeight="1" thickBot="1" x14ac:dyDescent="0.25">
      <c r="B6" s="413"/>
      <c r="C6" s="415" t="s">
        <v>2</v>
      </c>
      <c r="D6" s="417"/>
      <c r="E6" s="419" t="s">
        <v>3</v>
      </c>
      <c r="F6" s="421" t="s">
        <v>154</v>
      </c>
      <c r="G6" s="422"/>
      <c r="H6" s="422"/>
      <c r="I6" s="422"/>
      <c r="J6" s="422"/>
      <c r="K6" s="422"/>
      <c r="L6" s="422"/>
      <c r="M6" s="422"/>
      <c r="N6" s="423"/>
      <c r="S6" s="3"/>
      <c r="V6" s="3"/>
      <c r="X6" s="3"/>
    </row>
    <row r="7" spans="2:41" s="7" customFormat="1" ht="11.25" customHeight="1" thickBot="1" x14ac:dyDescent="0.25">
      <c r="B7" s="414"/>
      <c r="C7" s="416"/>
      <c r="D7" s="418"/>
      <c r="E7" s="420"/>
      <c r="F7" s="4" t="s">
        <v>5</v>
      </c>
      <c r="G7" s="424" t="s">
        <v>6</v>
      </c>
      <c r="H7" s="424"/>
      <c r="I7" s="424"/>
      <c r="J7" s="424"/>
      <c r="K7" s="424" t="s">
        <v>7</v>
      </c>
      <c r="L7" s="424"/>
      <c r="M7" s="404" t="s">
        <v>185</v>
      </c>
      <c r="N7" s="405"/>
      <c r="R7" s="8" t="s">
        <v>8</v>
      </c>
      <c r="S7" s="9" t="s">
        <v>9</v>
      </c>
      <c r="W7" s="404" t="s">
        <v>185</v>
      </c>
      <c r="X7" s="405"/>
    </row>
    <row r="8" spans="2:41" s="13" customFormat="1" ht="18.75" customHeight="1" thickBot="1" x14ac:dyDescent="0.25">
      <c r="B8" s="414"/>
      <c r="C8" s="416"/>
      <c r="D8" s="418"/>
      <c r="E8" s="420"/>
      <c r="F8" s="58" t="s">
        <v>10</v>
      </c>
      <c r="G8" s="406" t="s">
        <v>11</v>
      </c>
      <c r="H8" s="406"/>
      <c r="I8" s="406"/>
      <c r="J8" s="406"/>
      <c r="K8" s="406" t="s">
        <v>12</v>
      </c>
      <c r="L8" s="406"/>
      <c r="M8" s="407" t="s">
        <v>60</v>
      </c>
      <c r="N8" s="408"/>
      <c r="R8" s="14" t="s">
        <v>13</v>
      </c>
      <c r="S8" s="15" t="s">
        <v>14</v>
      </c>
      <c r="W8" s="407" t="s">
        <v>60</v>
      </c>
      <c r="X8" s="408"/>
      <c r="AA8" s="296"/>
      <c r="AB8" s="296"/>
      <c r="AC8" s="296"/>
    </row>
    <row r="9" spans="2:41" s="13" customFormat="1" ht="15.75" customHeight="1" x14ac:dyDescent="0.2">
      <c r="B9" s="367"/>
      <c r="C9" s="379" t="s">
        <v>17</v>
      </c>
      <c r="D9" s="379"/>
      <c r="E9" s="374" t="s">
        <v>18</v>
      </c>
      <c r="F9" s="290">
        <v>1</v>
      </c>
      <c r="G9" s="375" t="s">
        <v>15</v>
      </c>
      <c r="H9" s="375"/>
      <c r="I9" s="376"/>
      <c r="J9" s="208"/>
      <c r="K9" s="360" t="s">
        <v>181</v>
      </c>
      <c r="L9" s="361">
        <f>TRUNC(V9,2)</f>
        <v>0</v>
      </c>
      <c r="M9" s="362" t="s">
        <v>186</v>
      </c>
      <c r="N9" s="363">
        <f>ABS(Y9)</f>
        <v>0</v>
      </c>
      <c r="U9" s="402" t="s">
        <v>181</v>
      </c>
      <c r="V9" s="402">
        <f>J9+J10</f>
        <v>0</v>
      </c>
      <c r="W9" s="365" t="s">
        <v>186</v>
      </c>
      <c r="X9" s="366">
        <f>J9-J10</f>
        <v>0</v>
      </c>
      <c r="Y9" s="366">
        <f>ROUND(X9,1)</f>
        <v>0</v>
      </c>
      <c r="AA9" s="296" t="str">
        <f>IF(B6&gt;299.99,AA15,"")</f>
        <v/>
      </c>
      <c r="AB9" s="296" t="str">
        <f>IF(B6&gt;349.99,AB15,"")</f>
        <v/>
      </c>
      <c r="AC9" s="296" t="str">
        <f>IF(B6&gt;399.99,AC15,"")</f>
        <v/>
      </c>
    </row>
    <row r="10" spans="2:41" s="13" customFormat="1" ht="15.75" customHeight="1" x14ac:dyDescent="0.2">
      <c r="B10" s="367"/>
      <c r="C10" s="379"/>
      <c r="D10" s="379"/>
      <c r="E10" s="374"/>
      <c r="F10" s="290">
        <v>2</v>
      </c>
      <c r="G10" s="375" t="s">
        <v>19</v>
      </c>
      <c r="H10" s="375"/>
      <c r="I10" s="376"/>
      <c r="J10" s="209"/>
      <c r="K10" s="360"/>
      <c r="L10" s="361"/>
      <c r="M10" s="362"/>
      <c r="N10" s="363"/>
      <c r="U10" s="365"/>
      <c r="V10" s="365"/>
      <c r="W10" s="365"/>
      <c r="X10" s="365"/>
      <c r="Y10" s="365"/>
      <c r="AA10" s="296"/>
      <c r="AB10" s="299">
        <f>MIN(AA9,AB9,AC9)</f>
        <v>0</v>
      </c>
      <c r="AC10" s="296"/>
    </row>
    <row r="11" spans="2:41" s="142" customFormat="1" ht="24" customHeight="1" x14ac:dyDescent="0.2">
      <c r="B11" s="367"/>
      <c r="C11" s="395" t="s">
        <v>21</v>
      </c>
      <c r="D11" s="395"/>
      <c r="E11" s="374" t="s">
        <v>22</v>
      </c>
      <c r="F11" s="145">
        <v>37</v>
      </c>
      <c r="G11" s="396" t="s">
        <v>155</v>
      </c>
      <c r="H11" s="396"/>
      <c r="I11" s="397"/>
      <c r="J11" s="209"/>
      <c r="K11" s="148" t="s">
        <v>180</v>
      </c>
      <c r="L11" s="140">
        <f>MAX(Y12,Z12)</f>
        <v>0</v>
      </c>
      <c r="M11" s="141"/>
      <c r="N11" s="146"/>
      <c r="U11" s="143" t="s">
        <v>180</v>
      </c>
      <c r="V11" s="210">
        <f>MAX(J9,J10)</f>
        <v>0</v>
      </c>
      <c r="W11" s="144"/>
      <c r="X11" s="144"/>
      <c r="Y11" s="210">
        <f>V11-J11</f>
        <v>0</v>
      </c>
      <c r="Z11" s="210">
        <f>J11-V11</f>
        <v>0</v>
      </c>
      <c r="AA11" s="150"/>
      <c r="AB11" s="150" t="str">
        <f>ROMAN(AB10)</f>
        <v/>
      </c>
      <c r="AC11" s="150"/>
    </row>
    <row r="12" spans="2:41" s="13" customFormat="1" ht="15.75" customHeight="1" x14ac:dyDescent="0.2">
      <c r="B12" s="367"/>
      <c r="C12" s="395"/>
      <c r="D12" s="395"/>
      <c r="E12" s="374"/>
      <c r="F12" s="398">
        <v>38</v>
      </c>
      <c r="G12" s="399" t="s">
        <v>226</v>
      </c>
      <c r="H12" s="399"/>
      <c r="I12" s="400"/>
      <c r="J12" s="401"/>
      <c r="K12" s="384"/>
      <c r="L12" s="385"/>
      <c r="M12" s="393" t="s">
        <v>182</v>
      </c>
      <c r="N12" s="364"/>
      <c r="U12" s="394"/>
      <c r="V12" s="394"/>
      <c r="W12" s="403" t="s">
        <v>182</v>
      </c>
      <c r="X12" s="365"/>
      <c r="Y12" s="13">
        <f>(IF(Y11&gt;0,"",V11))</f>
        <v>0</v>
      </c>
      <c r="Z12" s="13">
        <f>(IF(Z11&gt;0,"",J11))</f>
        <v>0</v>
      </c>
      <c r="AA12" s="296"/>
      <c r="AB12" s="296"/>
      <c r="AC12" s="296"/>
    </row>
    <row r="13" spans="2:41" s="13" customFormat="1" ht="15.75" customHeight="1" x14ac:dyDescent="0.2">
      <c r="B13" s="367"/>
      <c r="C13" s="395"/>
      <c r="D13" s="395"/>
      <c r="E13" s="374"/>
      <c r="F13" s="398"/>
      <c r="G13" s="399"/>
      <c r="H13" s="399"/>
      <c r="I13" s="400"/>
      <c r="J13" s="401"/>
      <c r="K13" s="384"/>
      <c r="L13" s="385"/>
      <c r="M13" s="393"/>
      <c r="N13" s="364"/>
      <c r="U13" s="394"/>
      <c r="V13" s="394"/>
      <c r="W13" s="403"/>
      <c r="X13" s="365"/>
      <c r="AA13" s="296"/>
      <c r="AB13" s="296"/>
      <c r="AC13" s="296"/>
    </row>
    <row r="14" spans="2:41" s="13" customFormat="1" ht="15.75" customHeight="1" x14ac:dyDescent="0.2">
      <c r="B14" s="386"/>
      <c r="C14" s="387" t="s">
        <v>26</v>
      </c>
      <c r="D14" s="387" t="s">
        <v>27</v>
      </c>
      <c r="E14" s="390" t="s">
        <v>28</v>
      </c>
      <c r="F14" s="290">
        <v>39</v>
      </c>
      <c r="G14" s="383" t="s">
        <v>156</v>
      </c>
      <c r="H14" s="375" t="s">
        <v>157</v>
      </c>
      <c r="I14" s="376"/>
      <c r="J14" s="209"/>
      <c r="K14" s="26"/>
      <c r="L14" s="138"/>
      <c r="M14" s="362" t="s">
        <v>183</v>
      </c>
      <c r="N14" s="300">
        <f>J14</f>
        <v>0</v>
      </c>
      <c r="U14" s="365"/>
      <c r="V14" s="365"/>
      <c r="W14" s="365" t="s">
        <v>181</v>
      </c>
      <c r="AA14" s="296"/>
      <c r="AB14" s="296"/>
      <c r="AC14" s="296"/>
      <c r="AK14" s="262"/>
      <c r="AL14" s="263"/>
      <c r="AN14" s="262"/>
      <c r="AO14" s="263"/>
    </row>
    <row r="15" spans="2:41" s="13" customFormat="1" ht="15.75" customHeight="1" x14ac:dyDescent="0.2">
      <c r="B15" s="367"/>
      <c r="C15" s="388"/>
      <c r="D15" s="388"/>
      <c r="E15" s="391"/>
      <c r="F15" s="290">
        <v>40</v>
      </c>
      <c r="G15" s="383"/>
      <c r="H15" s="375" t="s">
        <v>158</v>
      </c>
      <c r="I15" s="376"/>
      <c r="J15" s="209"/>
      <c r="K15" s="384"/>
      <c r="L15" s="385"/>
      <c r="M15" s="362"/>
      <c r="N15" s="300">
        <f>J15</f>
        <v>0</v>
      </c>
      <c r="U15" s="365"/>
      <c r="V15" s="365"/>
      <c r="W15" s="365"/>
      <c r="AA15" s="296">
        <v>3</v>
      </c>
      <c r="AB15" s="296">
        <v>2</v>
      </c>
      <c r="AC15" s="296">
        <v>1</v>
      </c>
      <c r="AK15" s="262"/>
      <c r="AL15" s="263"/>
      <c r="AN15" s="262"/>
      <c r="AO15" s="263"/>
    </row>
    <row r="16" spans="2:41" s="13" customFormat="1" ht="15.75" customHeight="1" x14ac:dyDescent="0.2">
      <c r="B16" s="367"/>
      <c r="C16" s="388"/>
      <c r="D16" s="388"/>
      <c r="E16" s="391"/>
      <c r="F16" s="290">
        <v>41</v>
      </c>
      <c r="G16" s="383"/>
      <c r="H16" s="375" t="s">
        <v>159</v>
      </c>
      <c r="I16" s="376"/>
      <c r="J16" s="209"/>
      <c r="K16" s="384"/>
      <c r="L16" s="385"/>
      <c r="M16" s="362"/>
      <c r="N16" s="300">
        <f>J16</f>
        <v>0</v>
      </c>
      <c r="U16" s="365"/>
      <c r="V16" s="365"/>
      <c r="W16" s="365"/>
      <c r="AA16" s="296"/>
      <c r="AB16" s="296"/>
      <c r="AC16" s="296"/>
      <c r="AK16" s="262"/>
      <c r="AL16" s="263"/>
      <c r="AN16" s="262"/>
      <c r="AO16" s="263"/>
    </row>
    <row r="17" spans="2:42" s="13" customFormat="1" ht="15.75" customHeight="1" x14ac:dyDescent="0.2">
      <c r="B17" s="367"/>
      <c r="C17" s="389"/>
      <c r="D17" s="389"/>
      <c r="E17" s="392"/>
      <c r="F17" s="290">
        <v>42</v>
      </c>
      <c r="G17" s="383"/>
      <c r="H17" s="375" t="s">
        <v>160</v>
      </c>
      <c r="I17" s="376"/>
      <c r="J17" s="209"/>
      <c r="K17" s="26"/>
      <c r="L17" s="138"/>
      <c r="M17" s="362"/>
      <c r="N17" s="300">
        <f>J17</f>
        <v>0</v>
      </c>
      <c r="U17" s="365"/>
      <c r="V17" s="365"/>
      <c r="W17" s="365"/>
      <c r="AA17" s="296"/>
      <c r="AB17" s="296"/>
      <c r="AC17" s="296"/>
      <c r="AK17" s="262"/>
      <c r="AL17" s="263"/>
      <c r="AN17" s="262"/>
      <c r="AO17" s="263"/>
    </row>
    <row r="18" spans="2:42" s="13" customFormat="1" ht="15.75" customHeight="1" x14ac:dyDescent="0.2">
      <c r="B18" s="298"/>
      <c r="C18" s="64"/>
      <c r="D18" s="64"/>
      <c r="E18" s="291"/>
      <c r="F18" s="290">
        <v>43</v>
      </c>
      <c r="G18" s="383" t="s">
        <v>156</v>
      </c>
      <c r="H18" s="375" t="s">
        <v>161</v>
      </c>
      <c r="I18" s="376"/>
      <c r="J18" s="209"/>
      <c r="K18" s="360" t="s">
        <v>183</v>
      </c>
      <c r="L18" s="361">
        <f>TRUNC(V18,2)</f>
        <v>0</v>
      </c>
      <c r="M18" s="362" t="s">
        <v>186</v>
      </c>
      <c r="N18" s="363">
        <f>ABS(Y18)</f>
        <v>0</v>
      </c>
      <c r="U18" s="365" t="s">
        <v>183</v>
      </c>
      <c r="V18" s="366">
        <f>J18+J19</f>
        <v>0</v>
      </c>
      <c r="W18" s="365" t="s">
        <v>186</v>
      </c>
      <c r="X18" s="366">
        <f>J18-J19</f>
        <v>0</v>
      </c>
      <c r="Y18" s="366">
        <f>ROUND(X18,1)</f>
        <v>0</v>
      </c>
      <c r="Z18" s="299"/>
      <c r="AB18" s="135" t="s">
        <v>146</v>
      </c>
      <c r="AC18" s="296"/>
      <c r="AD18" s="296"/>
      <c r="AE18" s="13" t="str">
        <f>(IF(AB10=3,AB18,""))</f>
        <v/>
      </c>
      <c r="AL18" s="262"/>
      <c r="AM18" s="263"/>
      <c r="AO18" s="262"/>
      <c r="AP18" s="263"/>
    </row>
    <row r="19" spans="2:42" s="13" customFormat="1" ht="15.75" customHeight="1" x14ac:dyDescent="0.2">
      <c r="B19" s="380"/>
      <c r="C19" s="379" t="s">
        <v>37</v>
      </c>
      <c r="D19" s="379"/>
      <c r="E19" s="374" t="s">
        <v>38</v>
      </c>
      <c r="F19" s="290">
        <v>44</v>
      </c>
      <c r="G19" s="383"/>
      <c r="H19" s="375" t="s">
        <v>162</v>
      </c>
      <c r="I19" s="376"/>
      <c r="J19" s="209"/>
      <c r="K19" s="360"/>
      <c r="L19" s="361"/>
      <c r="M19" s="362"/>
      <c r="N19" s="364"/>
      <c r="U19" s="365"/>
      <c r="V19" s="366"/>
      <c r="W19" s="365"/>
      <c r="X19" s="366"/>
      <c r="Y19" s="366"/>
      <c r="Z19" s="299"/>
      <c r="AB19" s="135" t="s">
        <v>147</v>
      </c>
      <c r="AC19" s="296"/>
      <c r="AD19" s="296"/>
      <c r="AE19" s="13" t="str">
        <f>(IF(AB10=2,AB19,""))</f>
        <v/>
      </c>
      <c r="AL19" s="262"/>
      <c r="AM19" s="263"/>
      <c r="AO19" s="262"/>
      <c r="AP19" s="263"/>
    </row>
    <row r="20" spans="2:42" s="13" customFormat="1" ht="15.75" customHeight="1" x14ac:dyDescent="0.2">
      <c r="B20" s="381"/>
      <c r="C20" s="379"/>
      <c r="D20" s="379"/>
      <c r="E20" s="374"/>
      <c r="F20" s="290">
        <v>45</v>
      </c>
      <c r="G20" s="383"/>
      <c r="H20" s="375" t="s">
        <v>163</v>
      </c>
      <c r="I20" s="376"/>
      <c r="J20" s="209"/>
      <c r="K20" s="360" t="s">
        <v>183</v>
      </c>
      <c r="L20" s="361">
        <f>TRUNC(V20,2)</f>
        <v>0</v>
      </c>
      <c r="M20" s="362" t="s">
        <v>186</v>
      </c>
      <c r="N20" s="363">
        <f>ABS(Y20)</f>
        <v>0</v>
      </c>
      <c r="U20" s="365" t="s">
        <v>183</v>
      </c>
      <c r="V20" s="366">
        <f>J20+J21</f>
        <v>0</v>
      </c>
      <c r="W20" s="365" t="s">
        <v>186</v>
      </c>
      <c r="X20" s="366">
        <f>J20-J21</f>
        <v>0</v>
      </c>
      <c r="Y20" s="366">
        <f t="shared" ref="Y20" si="0">ROUND(X20,1)</f>
        <v>0</v>
      </c>
      <c r="Z20" s="366">
        <f>TRUNC(Y20,2)</f>
        <v>0</v>
      </c>
      <c r="AB20" s="135" t="s">
        <v>190</v>
      </c>
      <c r="AC20" s="296"/>
      <c r="AD20" s="296"/>
      <c r="AE20" s="13" t="str">
        <f>(IF(AB10=1,AB20,""))</f>
        <v/>
      </c>
      <c r="AL20" s="262"/>
      <c r="AM20" s="263"/>
      <c r="AO20" s="262"/>
      <c r="AP20" s="263"/>
    </row>
    <row r="21" spans="2:42" s="13" customFormat="1" ht="15.75" customHeight="1" x14ac:dyDescent="0.2">
      <c r="B21" s="381"/>
      <c r="C21" s="379" t="s">
        <v>42</v>
      </c>
      <c r="D21" s="379" t="s">
        <v>43</v>
      </c>
      <c r="E21" s="374" t="s">
        <v>44</v>
      </c>
      <c r="F21" s="290">
        <v>46</v>
      </c>
      <c r="G21" s="383"/>
      <c r="H21" s="375" t="s">
        <v>164</v>
      </c>
      <c r="I21" s="376"/>
      <c r="J21" s="209"/>
      <c r="K21" s="360"/>
      <c r="L21" s="361"/>
      <c r="M21" s="362"/>
      <c r="N21" s="364"/>
      <c r="U21" s="365"/>
      <c r="V21" s="366"/>
      <c r="W21" s="365"/>
      <c r="X21" s="366"/>
      <c r="Y21" s="366"/>
      <c r="Z21" s="366"/>
      <c r="AB21" s="296"/>
      <c r="AC21" s="296"/>
      <c r="AD21" s="296"/>
      <c r="AE21" s="13" t="str">
        <f>CONCATENATE(AE20,AE19,AE18)</f>
        <v/>
      </c>
      <c r="AL21" s="262"/>
      <c r="AM21" s="263"/>
      <c r="AO21" s="262"/>
      <c r="AP21" s="263"/>
    </row>
    <row r="22" spans="2:42" s="13" customFormat="1" ht="15.75" customHeight="1" x14ac:dyDescent="0.2">
      <c r="B22" s="381"/>
      <c r="C22" s="379"/>
      <c r="D22" s="379"/>
      <c r="E22" s="374"/>
      <c r="F22" s="290">
        <v>47</v>
      </c>
      <c r="G22" s="383"/>
      <c r="H22" s="375" t="s">
        <v>165</v>
      </c>
      <c r="I22" s="376"/>
      <c r="J22" s="209"/>
      <c r="K22" s="360" t="s">
        <v>183</v>
      </c>
      <c r="L22" s="361">
        <f>TRUNC(V22,2)</f>
        <v>0</v>
      </c>
      <c r="M22" s="362" t="s">
        <v>186</v>
      </c>
      <c r="N22" s="363">
        <f>ABS(Y22)</f>
        <v>0</v>
      </c>
      <c r="U22" s="365" t="s">
        <v>183</v>
      </c>
      <c r="V22" s="366">
        <f>J22+J23</f>
        <v>0</v>
      </c>
      <c r="W22" s="365" t="s">
        <v>186</v>
      </c>
      <c r="X22" s="366">
        <f>J22-J23</f>
        <v>0</v>
      </c>
      <c r="Y22" s="366">
        <f t="shared" ref="Y22" si="1">ROUND(X22,1)</f>
        <v>0</v>
      </c>
      <c r="Z22" s="366">
        <f>TRUNC(Y22,2)</f>
        <v>0</v>
      </c>
      <c r="AB22" s="296"/>
      <c r="AC22" s="296"/>
      <c r="AD22" s="296"/>
      <c r="AL22" s="262"/>
      <c r="AM22" s="263"/>
      <c r="AO22" s="262"/>
      <c r="AP22" s="263"/>
    </row>
    <row r="23" spans="2:42" s="13" customFormat="1" ht="15.75" customHeight="1" x14ac:dyDescent="0.2">
      <c r="B23" s="382"/>
      <c r="C23" s="379"/>
      <c r="D23" s="379"/>
      <c r="E23" s="374"/>
      <c r="F23" s="290">
        <v>48</v>
      </c>
      <c r="G23" s="383"/>
      <c r="H23" s="375" t="s">
        <v>166</v>
      </c>
      <c r="I23" s="376"/>
      <c r="J23" s="209"/>
      <c r="K23" s="360"/>
      <c r="L23" s="361"/>
      <c r="M23" s="362"/>
      <c r="N23" s="364"/>
      <c r="U23" s="365"/>
      <c r="V23" s="366"/>
      <c r="W23" s="365"/>
      <c r="X23" s="366"/>
      <c r="Y23" s="366"/>
      <c r="Z23" s="366"/>
      <c r="AA23" s="365"/>
      <c r="AB23" s="365"/>
      <c r="AC23" s="365"/>
      <c r="AD23" s="296"/>
      <c r="AL23" s="262"/>
      <c r="AM23" s="263"/>
      <c r="AO23" s="262"/>
      <c r="AP23" s="263"/>
    </row>
    <row r="24" spans="2:42" s="13" customFormat="1" ht="15.75" customHeight="1" x14ac:dyDescent="0.2">
      <c r="B24" s="378"/>
      <c r="C24" s="379" t="s">
        <v>51</v>
      </c>
      <c r="D24" s="379"/>
      <c r="E24" s="374"/>
      <c r="F24" s="290">
        <v>49</v>
      </c>
      <c r="G24" s="383"/>
      <c r="H24" s="375" t="s">
        <v>167</v>
      </c>
      <c r="I24" s="376"/>
      <c r="J24" s="209"/>
      <c r="K24" s="360" t="s">
        <v>183</v>
      </c>
      <c r="L24" s="361">
        <f>TRUNC(V24,2)</f>
        <v>0</v>
      </c>
      <c r="M24" s="362" t="s">
        <v>186</v>
      </c>
      <c r="N24" s="363">
        <f>ABS(Y24)</f>
        <v>0</v>
      </c>
      <c r="U24" s="365" t="s">
        <v>183</v>
      </c>
      <c r="V24" s="366">
        <f>J24+J25</f>
        <v>0</v>
      </c>
      <c r="W24" s="365" t="s">
        <v>186</v>
      </c>
      <c r="X24" s="366">
        <f>J24-J25</f>
        <v>0</v>
      </c>
      <c r="Y24" s="366">
        <f t="shared" ref="Y24" si="2">ROUND(X24,1)</f>
        <v>0</v>
      </c>
      <c r="Z24" s="366">
        <f>TRUNC(Y24,2)</f>
        <v>0</v>
      </c>
      <c r="AB24" s="296"/>
      <c r="AC24" s="296"/>
      <c r="AD24" s="296"/>
      <c r="AL24" s="262"/>
      <c r="AM24" s="263"/>
      <c r="AO24" s="262"/>
      <c r="AP24" s="263"/>
    </row>
    <row r="25" spans="2:42" s="13" customFormat="1" ht="15.75" customHeight="1" x14ac:dyDescent="0.2">
      <c r="B25" s="378"/>
      <c r="C25" s="379"/>
      <c r="D25" s="379"/>
      <c r="E25" s="374"/>
      <c r="F25" s="290">
        <v>50</v>
      </c>
      <c r="G25" s="383"/>
      <c r="H25" s="375" t="s">
        <v>168</v>
      </c>
      <c r="I25" s="376"/>
      <c r="J25" s="209"/>
      <c r="K25" s="360"/>
      <c r="L25" s="361"/>
      <c r="M25" s="362"/>
      <c r="N25" s="364"/>
      <c r="U25" s="365"/>
      <c r="V25" s="366"/>
      <c r="W25" s="365"/>
      <c r="X25" s="366"/>
      <c r="Y25" s="366"/>
      <c r="Z25" s="366"/>
      <c r="AB25" s="272" t="str">
        <f>IF(B6&gt;399.99,"Význačná trofej","")</f>
        <v/>
      </c>
      <c r="AC25" s="296"/>
      <c r="AD25" s="296"/>
      <c r="AL25" s="262"/>
      <c r="AM25" s="263"/>
      <c r="AO25" s="262"/>
      <c r="AP25" s="263"/>
    </row>
    <row r="26" spans="2:42" s="13" customFormat="1" ht="15.75" customHeight="1" x14ac:dyDescent="0.2">
      <c r="B26" s="301"/>
      <c r="C26" s="67" t="s">
        <v>56</v>
      </c>
      <c r="D26" s="379"/>
      <c r="E26" s="374"/>
      <c r="F26" s="290">
        <v>51</v>
      </c>
      <c r="G26" s="383"/>
      <c r="H26" s="375" t="s">
        <v>169</v>
      </c>
      <c r="I26" s="376"/>
      <c r="J26" s="209"/>
      <c r="K26" s="360" t="s">
        <v>183</v>
      </c>
      <c r="L26" s="361">
        <f>TRUNC(V26,2)</f>
        <v>0</v>
      </c>
      <c r="M26" s="362" t="s">
        <v>186</v>
      </c>
      <c r="N26" s="363">
        <f>ABS(Y26)</f>
        <v>0</v>
      </c>
      <c r="U26" s="365" t="s">
        <v>183</v>
      </c>
      <c r="V26" s="366">
        <f>J26+J27</f>
        <v>0</v>
      </c>
      <c r="W26" s="365" t="s">
        <v>186</v>
      </c>
      <c r="X26" s="366">
        <f>J26-J27</f>
        <v>0</v>
      </c>
      <c r="Y26" s="366">
        <f t="shared" ref="Y26" si="3">ROUND(X26,1)</f>
        <v>0</v>
      </c>
      <c r="Z26" s="366">
        <f>TRUNC(Y26,2)</f>
        <v>0</v>
      </c>
      <c r="AB26" s="296"/>
      <c r="AC26" s="296"/>
      <c r="AD26" s="296"/>
      <c r="AL26" s="262"/>
      <c r="AM26" s="263"/>
      <c r="AO26" s="262"/>
      <c r="AP26" s="263"/>
    </row>
    <row r="27" spans="2:42" s="13" customFormat="1" ht="15.75" customHeight="1" x14ac:dyDescent="0.2">
      <c r="B27" s="367"/>
      <c r="C27" s="368" t="s">
        <v>58</v>
      </c>
      <c r="D27" s="369"/>
      <c r="E27" s="374" t="s">
        <v>59</v>
      </c>
      <c r="F27" s="290">
        <v>52</v>
      </c>
      <c r="G27" s="383"/>
      <c r="H27" s="375" t="s">
        <v>170</v>
      </c>
      <c r="I27" s="376"/>
      <c r="J27" s="209"/>
      <c r="K27" s="360"/>
      <c r="L27" s="361"/>
      <c r="M27" s="362"/>
      <c r="N27" s="364"/>
      <c r="U27" s="365"/>
      <c r="V27" s="366"/>
      <c r="W27" s="365"/>
      <c r="X27" s="366"/>
      <c r="Y27" s="366"/>
      <c r="Z27" s="366"/>
      <c r="AB27" s="296"/>
      <c r="AC27" s="296"/>
      <c r="AD27" s="296"/>
      <c r="AL27" s="262"/>
      <c r="AM27" s="263"/>
      <c r="AO27" s="262"/>
      <c r="AP27" s="263"/>
    </row>
    <row r="28" spans="2:42" s="13" customFormat="1" ht="15.75" customHeight="1" x14ac:dyDescent="0.2">
      <c r="B28" s="367"/>
      <c r="C28" s="370"/>
      <c r="D28" s="371"/>
      <c r="E28" s="374"/>
      <c r="F28" s="290">
        <v>53</v>
      </c>
      <c r="G28" s="383"/>
      <c r="H28" s="375" t="s">
        <v>171</v>
      </c>
      <c r="I28" s="376"/>
      <c r="J28" s="209"/>
      <c r="K28" s="360" t="s">
        <v>183</v>
      </c>
      <c r="L28" s="361">
        <f>TRUNC(V28,2)</f>
        <v>0</v>
      </c>
      <c r="M28" s="362" t="s">
        <v>186</v>
      </c>
      <c r="N28" s="363">
        <f>ABS(Y28)</f>
        <v>0</v>
      </c>
      <c r="U28" s="365" t="s">
        <v>183</v>
      </c>
      <c r="V28" s="366">
        <f>J28+J29</f>
        <v>0</v>
      </c>
      <c r="W28" s="365" t="s">
        <v>186</v>
      </c>
      <c r="X28" s="366">
        <f>J28-J29</f>
        <v>0</v>
      </c>
      <c r="Y28" s="366">
        <f t="shared" ref="Y28" si="4">ROUND(X28,1)</f>
        <v>0</v>
      </c>
      <c r="Z28" s="366">
        <f>TRUNC(Y28,2)</f>
        <v>0</v>
      </c>
      <c r="AB28" s="296"/>
      <c r="AC28" s="296"/>
      <c r="AD28" s="296"/>
      <c r="AL28" s="262"/>
      <c r="AM28" s="263"/>
      <c r="AO28" s="262"/>
      <c r="AP28" s="263"/>
    </row>
    <row r="29" spans="2:42" ht="12" customHeight="1" x14ac:dyDescent="0.2">
      <c r="B29" s="367"/>
      <c r="C29" s="370"/>
      <c r="D29" s="371"/>
      <c r="E29" s="374"/>
      <c r="F29" s="290">
        <v>54</v>
      </c>
      <c r="G29" s="383"/>
      <c r="H29" s="375" t="s">
        <v>172</v>
      </c>
      <c r="I29" s="376"/>
      <c r="J29" s="211"/>
      <c r="K29" s="360"/>
      <c r="L29" s="361"/>
      <c r="M29" s="362"/>
      <c r="N29" s="364"/>
      <c r="S29" s="3"/>
      <c r="U29" s="365"/>
      <c r="V29" s="366"/>
      <c r="W29" s="365"/>
      <c r="X29" s="366"/>
      <c r="Y29" s="366"/>
      <c r="Z29" s="366"/>
      <c r="AA29" s="13"/>
      <c r="AB29" s="296"/>
      <c r="AC29" s="296"/>
      <c r="AD29" s="295"/>
      <c r="AL29" s="262"/>
      <c r="AM29" s="263"/>
      <c r="AO29" s="262"/>
      <c r="AP29" s="263"/>
    </row>
    <row r="30" spans="2:42" ht="18.75" customHeight="1" x14ac:dyDescent="0.2">
      <c r="B30" s="367"/>
      <c r="C30" s="370"/>
      <c r="D30" s="371"/>
      <c r="E30" s="374"/>
      <c r="F30" s="147">
        <v>57</v>
      </c>
      <c r="G30" s="377" t="s">
        <v>173</v>
      </c>
      <c r="H30" s="358" t="s">
        <v>174</v>
      </c>
      <c r="I30" s="359"/>
      <c r="J30" s="211"/>
      <c r="K30" s="360" t="s">
        <v>184</v>
      </c>
      <c r="L30" s="361">
        <f>TRUNC(V30,2)</f>
        <v>0</v>
      </c>
      <c r="M30" s="362" t="s">
        <v>187</v>
      </c>
      <c r="N30" s="363">
        <f>ABS(Y30)</f>
        <v>0</v>
      </c>
      <c r="S30" s="3"/>
      <c r="U30" s="365" t="s">
        <v>184</v>
      </c>
      <c r="V30" s="366">
        <f>J30+J31</f>
        <v>0</v>
      </c>
      <c r="W30" s="365" t="s">
        <v>187</v>
      </c>
      <c r="X30" s="366">
        <f>J30-J31</f>
        <v>0</v>
      </c>
      <c r="Y30" s="366">
        <f t="shared" ref="Y30" si="5">ROUND(X30,1)</f>
        <v>0</v>
      </c>
      <c r="Z30" s="366">
        <f>TRUNC(Y30,2)</f>
        <v>0</v>
      </c>
      <c r="AA30" s="3"/>
      <c r="AD30" s="295"/>
      <c r="AL30" s="262"/>
      <c r="AM30" s="263"/>
      <c r="AO30" s="262"/>
      <c r="AP30" s="263"/>
    </row>
    <row r="31" spans="2:42" ht="18.75" customHeight="1" x14ac:dyDescent="0.2">
      <c r="B31" s="367"/>
      <c r="C31" s="370"/>
      <c r="D31" s="371"/>
      <c r="E31" s="374"/>
      <c r="F31" s="147">
        <v>58</v>
      </c>
      <c r="G31" s="377"/>
      <c r="H31" s="358" t="s">
        <v>175</v>
      </c>
      <c r="I31" s="359"/>
      <c r="J31" s="211"/>
      <c r="K31" s="360"/>
      <c r="L31" s="361"/>
      <c r="M31" s="362"/>
      <c r="N31" s="364"/>
      <c r="S31" s="3"/>
      <c r="U31" s="365"/>
      <c r="V31" s="366"/>
      <c r="W31" s="365"/>
      <c r="X31" s="366"/>
      <c r="Y31" s="366"/>
      <c r="Z31" s="366"/>
      <c r="AA31" s="3"/>
      <c r="AD31" s="295"/>
      <c r="AL31" s="262"/>
      <c r="AM31" s="263"/>
      <c r="AO31" s="262"/>
      <c r="AP31" s="263"/>
    </row>
    <row r="32" spans="2:42" ht="18.75" customHeight="1" x14ac:dyDescent="0.2">
      <c r="B32" s="367"/>
      <c r="C32" s="370"/>
      <c r="D32" s="371"/>
      <c r="E32" s="374"/>
      <c r="F32" s="147">
        <v>59</v>
      </c>
      <c r="G32" s="377"/>
      <c r="H32" s="358" t="s">
        <v>176</v>
      </c>
      <c r="I32" s="359"/>
      <c r="J32" s="211"/>
      <c r="K32" s="360" t="s">
        <v>184</v>
      </c>
      <c r="L32" s="361">
        <f>TRUNC(V32,2)</f>
        <v>0</v>
      </c>
      <c r="M32" s="362" t="s">
        <v>187</v>
      </c>
      <c r="N32" s="363">
        <f>ABS(Y32)</f>
        <v>0</v>
      </c>
      <c r="S32" s="3"/>
      <c r="U32" s="365" t="s">
        <v>184</v>
      </c>
      <c r="V32" s="366">
        <f>J32+J33</f>
        <v>0</v>
      </c>
      <c r="W32" s="365" t="s">
        <v>187</v>
      </c>
      <c r="X32" s="366">
        <f>J32-J33</f>
        <v>0</v>
      </c>
      <c r="Y32" s="366">
        <f t="shared" ref="Y32" si="6">ROUND(X32,1)</f>
        <v>0</v>
      </c>
      <c r="Z32" s="366">
        <f>TRUNC(Y32,2)</f>
        <v>0</v>
      </c>
      <c r="AA32" s="3"/>
      <c r="AD32" s="295"/>
      <c r="AL32" s="262"/>
      <c r="AM32" s="263"/>
      <c r="AO32" s="262"/>
      <c r="AP32" s="263"/>
    </row>
    <row r="33" spans="2:42" ht="18.75" customHeight="1" thickBot="1" x14ac:dyDescent="0.25">
      <c r="B33" s="367"/>
      <c r="C33" s="370"/>
      <c r="D33" s="371"/>
      <c r="E33" s="374"/>
      <c r="F33" s="147">
        <v>60</v>
      </c>
      <c r="G33" s="377"/>
      <c r="H33" s="358" t="s">
        <v>177</v>
      </c>
      <c r="I33" s="359"/>
      <c r="J33" s="212"/>
      <c r="K33" s="360"/>
      <c r="L33" s="361"/>
      <c r="M33" s="362"/>
      <c r="N33" s="364"/>
      <c r="S33" s="3"/>
      <c r="U33" s="365"/>
      <c r="V33" s="366"/>
      <c r="W33" s="365"/>
      <c r="X33" s="366"/>
      <c r="Y33" s="366"/>
      <c r="Z33" s="366"/>
      <c r="AA33" s="3"/>
      <c r="AD33" s="295"/>
      <c r="AL33" s="262"/>
      <c r="AM33" s="263"/>
      <c r="AO33" s="262"/>
      <c r="AP33" s="263"/>
    </row>
    <row r="34" spans="2:42" ht="12.75" customHeight="1" x14ac:dyDescent="0.2">
      <c r="B34" s="367"/>
      <c r="C34" s="372"/>
      <c r="D34" s="373"/>
      <c r="E34" s="374"/>
      <c r="F34" s="344" t="s">
        <v>179</v>
      </c>
      <c r="G34" s="345"/>
      <c r="H34" s="345"/>
      <c r="I34" s="345"/>
      <c r="J34" s="346"/>
      <c r="K34" s="345"/>
      <c r="L34" s="347">
        <f>SUM(L9:L32)</f>
        <v>0</v>
      </c>
      <c r="M34" s="302"/>
      <c r="N34" s="348">
        <f>SUM(N9:N32)</f>
        <v>0</v>
      </c>
      <c r="S34" s="3"/>
      <c r="V34" s="3"/>
      <c r="X34" s="3"/>
      <c r="AA34" s="3"/>
      <c r="AK34" s="262"/>
      <c r="AL34" s="263"/>
      <c r="AN34" s="262"/>
      <c r="AO34" s="263"/>
    </row>
    <row r="35" spans="2:42" ht="12.75" customHeight="1" x14ac:dyDescent="0.2">
      <c r="B35" s="332"/>
      <c r="C35" s="334" t="s">
        <v>98</v>
      </c>
      <c r="D35" s="334" t="s">
        <v>69</v>
      </c>
      <c r="E35" s="336" t="s">
        <v>70</v>
      </c>
      <c r="F35" s="344"/>
      <c r="G35" s="345"/>
      <c r="H35" s="345"/>
      <c r="I35" s="345"/>
      <c r="J35" s="345"/>
      <c r="K35" s="345"/>
      <c r="L35" s="347"/>
      <c r="M35" s="302"/>
      <c r="N35" s="349"/>
      <c r="S35" s="3"/>
      <c r="V35" s="3"/>
      <c r="X35" s="3"/>
      <c r="AK35" s="262"/>
      <c r="AL35" s="263"/>
      <c r="AN35" s="262"/>
      <c r="AO35" s="263"/>
    </row>
    <row r="36" spans="2:42" ht="12.75" customHeight="1" x14ac:dyDescent="0.2">
      <c r="B36" s="332"/>
      <c r="C36" s="334"/>
      <c r="D36" s="334"/>
      <c r="E36" s="336"/>
      <c r="F36" s="151" t="s">
        <v>188</v>
      </c>
      <c r="G36" s="152"/>
      <c r="H36" s="350" t="str">
        <f>AE21</f>
        <v/>
      </c>
      <c r="I36" s="350"/>
      <c r="J36" s="351"/>
      <c r="K36" s="351"/>
      <c r="L36" s="351"/>
      <c r="M36" s="351"/>
      <c r="N36" s="153"/>
      <c r="S36" s="3"/>
      <c r="V36" s="3"/>
      <c r="X36" s="3"/>
      <c r="AK36" s="262"/>
      <c r="AL36" s="263"/>
      <c r="AN36" s="262"/>
      <c r="AO36" s="263"/>
    </row>
    <row r="37" spans="2:42" ht="18.75" customHeight="1" thickBot="1" x14ac:dyDescent="0.25">
      <c r="B37" s="332"/>
      <c r="C37" s="334"/>
      <c r="D37" s="334"/>
      <c r="E37" s="336"/>
      <c r="F37" s="154"/>
      <c r="G37" s="155"/>
      <c r="H37" s="352"/>
      <c r="I37" s="352"/>
      <c r="J37" s="353"/>
      <c r="K37" s="353"/>
      <c r="L37" s="353"/>
      <c r="M37" s="353"/>
      <c r="N37" s="156"/>
      <c r="S37" s="3"/>
      <c r="V37" s="3"/>
      <c r="X37" s="3"/>
      <c r="AN37" s="262"/>
      <c r="AO37" s="263"/>
    </row>
    <row r="38" spans="2:42" ht="17.25" customHeight="1" thickBot="1" x14ac:dyDescent="0.25">
      <c r="B38" s="332"/>
      <c r="C38" s="334"/>
      <c r="D38" s="334"/>
      <c r="E38" s="336"/>
      <c r="F38" s="44">
        <v>99</v>
      </c>
      <c r="G38" s="354" t="s">
        <v>189</v>
      </c>
      <c r="H38" s="355"/>
      <c r="I38" s="355"/>
      <c r="J38" s="264"/>
      <c r="K38" s="356" t="str">
        <f>AB25</f>
        <v/>
      </c>
      <c r="L38" s="356"/>
      <c r="M38" s="357"/>
      <c r="N38" s="149">
        <f>L34-N34</f>
        <v>0</v>
      </c>
      <c r="S38" s="3"/>
      <c r="V38" s="3"/>
      <c r="X38" s="3"/>
      <c r="AA38" s="3"/>
      <c r="AB38" s="3"/>
      <c r="AC38" s="3"/>
      <c r="AN38" s="262"/>
      <c r="AO38" s="263"/>
    </row>
    <row r="39" spans="2:42" ht="21.75" customHeight="1" x14ac:dyDescent="0.2">
      <c r="B39" s="332"/>
      <c r="C39" s="334" t="s">
        <v>72</v>
      </c>
      <c r="D39" s="334"/>
      <c r="E39" s="336" t="s">
        <v>73</v>
      </c>
      <c r="F39" s="338"/>
      <c r="G39" s="339"/>
      <c r="H39" s="339"/>
      <c r="I39" s="340"/>
      <c r="J39" s="341"/>
      <c r="K39" s="342"/>
      <c r="L39" s="343"/>
      <c r="M39" s="343"/>
      <c r="N39" s="297"/>
      <c r="S39" s="3"/>
      <c r="V39" s="3"/>
      <c r="X39" s="3"/>
      <c r="AA39" s="3"/>
      <c r="AB39" s="3"/>
      <c r="AC39" s="3"/>
      <c r="AN39" s="262"/>
      <c r="AO39" s="263"/>
    </row>
    <row r="40" spans="2:42" ht="10.5" customHeight="1" thickBot="1" x14ac:dyDescent="0.25">
      <c r="B40" s="333"/>
      <c r="C40" s="335"/>
      <c r="D40" s="335"/>
      <c r="E40" s="337"/>
      <c r="F40" s="292" t="s">
        <v>74</v>
      </c>
      <c r="G40" s="293"/>
      <c r="H40" s="293"/>
      <c r="I40" s="293" t="s">
        <v>75</v>
      </c>
      <c r="J40" s="293"/>
      <c r="K40" s="293" t="s">
        <v>76</v>
      </c>
      <c r="L40" s="293"/>
      <c r="M40" s="293" t="s">
        <v>77</v>
      </c>
      <c r="N40" s="294"/>
      <c r="S40" s="3"/>
      <c r="V40" s="3"/>
      <c r="X40" s="3"/>
      <c r="AA40" s="3"/>
      <c r="AB40" s="3"/>
      <c r="AC40" s="3"/>
      <c r="AN40" s="262"/>
      <c r="AO40" s="263"/>
    </row>
    <row r="41" spans="2:42" ht="16.5" thickBot="1" x14ac:dyDescent="0.25">
      <c r="F41" s="46"/>
      <c r="G41" s="46"/>
      <c r="H41" s="46"/>
      <c r="I41" s="46"/>
      <c r="K41" s="46"/>
      <c r="L41" s="51"/>
      <c r="M41" s="46"/>
      <c r="O41" s="46"/>
      <c r="S41" s="45"/>
      <c r="U41" s="46"/>
      <c r="V41" s="51"/>
      <c r="W41" s="46"/>
      <c r="AA41" s="3"/>
      <c r="AB41" s="3"/>
      <c r="AC41" s="3"/>
      <c r="AN41" s="262"/>
      <c r="AO41" s="263"/>
    </row>
    <row r="42" spans="2:42" x14ac:dyDescent="0.2">
      <c r="F42" s="46"/>
      <c r="G42" s="46"/>
      <c r="H42" s="46"/>
      <c r="I42" s="46"/>
      <c r="K42" s="46"/>
      <c r="L42" s="51"/>
      <c r="M42" s="46"/>
      <c r="O42" s="46"/>
      <c r="P42" s="46"/>
      <c r="Q42" s="46"/>
      <c r="R42" s="328"/>
      <c r="S42" s="329"/>
      <c r="U42" s="46"/>
      <c r="V42" s="51"/>
      <c r="W42" s="46"/>
      <c r="AA42" s="3"/>
      <c r="AB42" s="3"/>
      <c r="AC42" s="3"/>
      <c r="AN42" s="262"/>
      <c r="AO42" s="263"/>
    </row>
    <row r="43" spans="2:42" ht="13.5" thickBot="1" x14ac:dyDescent="0.25">
      <c r="F43" s="46"/>
      <c r="G43" s="46"/>
      <c r="H43" s="46"/>
      <c r="I43" s="46"/>
      <c r="K43" s="46"/>
      <c r="L43" s="51"/>
      <c r="M43" s="46"/>
      <c r="O43" s="46"/>
      <c r="P43" s="46"/>
      <c r="Q43" s="46"/>
      <c r="R43" s="330"/>
      <c r="S43" s="331"/>
      <c r="U43" s="46"/>
      <c r="V43" s="51"/>
      <c r="W43" s="46"/>
      <c r="AA43" s="3"/>
      <c r="AB43" s="3"/>
      <c r="AC43" s="3"/>
      <c r="AN43" s="262"/>
      <c r="AO43" s="263"/>
    </row>
    <row r="44" spans="2:42" x14ac:dyDescent="0.2">
      <c r="F44" s="46"/>
      <c r="G44" s="46"/>
      <c r="H44" s="46"/>
      <c r="I44" s="46"/>
      <c r="K44" s="46"/>
      <c r="L44" s="51"/>
      <c r="M44" s="46"/>
      <c r="O44" s="46"/>
      <c r="P44" s="46"/>
      <c r="Q44" s="46"/>
      <c r="R44" s="46"/>
      <c r="S44" s="51"/>
      <c r="U44" s="46"/>
      <c r="V44" s="51"/>
      <c r="W44" s="46"/>
      <c r="AA44" s="3"/>
      <c r="AB44" s="3"/>
      <c r="AC44" s="3"/>
      <c r="AN44" s="262"/>
      <c r="AO44" s="263"/>
    </row>
    <row r="45" spans="2:42" x14ac:dyDescent="0.2">
      <c r="F45" s="46"/>
      <c r="G45" s="46"/>
      <c r="H45" s="46"/>
      <c r="I45" s="46"/>
      <c r="K45" s="46"/>
      <c r="L45" s="51"/>
      <c r="M45" s="46"/>
      <c r="O45" s="46"/>
      <c r="P45" s="46"/>
      <c r="Q45" s="46"/>
      <c r="R45" s="46"/>
      <c r="S45" s="51"/>
      <c r="U45" s="46"/>
      <c r="V45" s="51"/>
      <c r="W45" s="46"/>
      <c r="AA45" s="3"/>
      <c r="AB45" s="3"/>
      <c r="AC45" s="3"/>
      <c r="AN45" s="262"/>
      <c r="AO45" s="263"/>
    </row>
    <row r="46" spans="2:42" x14ac:dyDescent="0.2">
      <c r="F46" s="46"/>
      <c r="G46" s="46"/>
      <c r="H46" s="46"/>
      <c r="I46" s="46"/>
      <c r="K46" s="46"/>
      <c r="L46" s="51"/>
      <c r="M46" s="46"/>
      <c r="O46" s="46"/>
      <c r="P46" s="46"/>
      <c r="Q46" s="46"/>
      <c r="R46" s="46"/>
      <c r="S46" s="51"/>
      <c r="U46" s="46"/>
      <c r="V46" s="51"/>
      <c r="W46" s="46"/>
      <c r="AA46" s="3"/>
      <c r="AB46" s="3"/>
      <c r="AC46" s="3"/>
    </row>
    <row r="47" spans="2:42" x14ac:dyDescent="0.2">
      <c r="F47" s="46"/>
      <c r="G47" s="46"/>
      <c r="H47" s="46"/>
      <c r="I47" s="46"/>
      <c r="K47" s="46"/>
      <c r="L47" s="51"/>
      <c r="M47" s="46"/>
      <c r="O47" s="46"/>
      <c r="P47" s="46"/>
      <c r="Q47" s="46"/>
      <c r="R47" s="46"/>
      <c r="S47" s="51"/>
      <c r="U47" s="46"/>
      <c r="V47" s="51"/>
      <c r="W47" s="46"/>
      <c r="AA47" s="3"/>
      <c r="AB47" s="3"/>
      <c r="AC47" s="3"/>
    </row>
    <row r="48" spans="2:42" x14ac:dyDescent="0.2">
      <c r="F48" s="46"/>
      <c r="G48" s="46"/>
      <c r="H48" s="46"/>
      <c r="I48" s="46"/>
      <c r="K48" s="46"/>
      <c r="L48" s="51"/>
      <c r="M48" s="46"/>
      <c r="O48" s="46"/>
      <c r="P48" s="46"/>
      <c r="Q48" s="46"/>
      <c r="R48" s="46"/>
      <c r="S48" s="51"/>
      <c r="U48" s="46"/>
      <c r="V48" s="51"/>
      <c r="W48" s="46"/>
      <c r="AA48" s="3"/>
      <c r="AB48" s="3"/>
      <c r="AC48" s="3"/>
    </row>
    <row r="49" spans="6:29" x14ac:dyDescent="0.2">
      <c r="F49" s="46"/>
      <c r="G49" s="46"/>
      <c r="H49" s="46"/>
      <c r="I49" s="46"/>
      <c r="K49" s="46"/>
      <c r="L49" s="51"/>
      <c r="M49" s="46"/>
      <c r="O49" s="46"/>
      <c r="P49" s="46"/>
      <c r="Q49" s="46"/>
      <c r="R49" s="46"/>
      <c r="S49" s="51"/>
      <c r="U49" s="46"/>
      <c r="V49" s="51"/>
      <c r="W49" s="46"/>
      <c r="AA49" s="3"/>
      <c r="AB49" s="3"/>
      <c r="AC49" s="3"/>
    </row>
    <row r="50" spans="6:29" x14ac:dyDescent="0.2">
      <c r="F50" s="46"/>
      <c r="G50" s="46"/>
      <c r="H50" s="46"/>
      <c r="I50" s="46"/>
      <c r="K50" s="46"/>
      <c r="L50" s="51"/>
      <c r="M50" s="46"/>
      <c r="O50" s="46"/>
      <c r="P50" s="46"/>
      <c r="Q50" s="46"/>
      <c r="R50" s="46"/>
      <c r="S50" s="51"/>
      <c r="U50" s="46"/>
      <c r="V50" s="51"/>
      <c r="W50" s="46"/>
      <c r="AA50" s="3"/>
      <c r="AB50" s="3"/>
      <c r="AC50" s="3"/>
    </row>
    <row r="51" spans="6:29" x14ac:dyDescent="0.2">
      <c r="F51" s="46"/>
      <c r="G51" s="46"/>
      <c r="H51" s="46"/>
      <c r="I51" s="46"/>
      <c r="K51" s="46"/>
      <c r="L51" s="51"/>
      <c r="M51" s="46"/>
      <c r="O51" s="46"/>
      <c r="P51" s="46"/>
      <c r="Q51" s="46"/>
      <c r="R51" s="46"/>
      <c r="S51" s="51"/>
      <c r="U51" s="46"/>
      <c r="V51" s="51"/>
      <c r="W51" s="46"/>
      <c r="AA51" s="3"/>
      <c r="AB51" s="3"/>
      <c r="AC51" s="3"/>
    </row>
    <row r="52" spans="6:29" x14ac:dyDescent="0.2">
      <c r="F52" s="46"/>
      <c r="G52" s="46"/>
      <c r="H52" s="46"/>
      <c r="I52" s="46"/>
      <c r="K52" s="46"/>
      <c r="L52" s="51"/>
      <c r="M52" s="46"/>
      <c r="O52" s="46"/>
      <c r="P52" s="46"/>
      <c r="Q52" s="46"/>
      <c r="R52" s="46"/>
      <c r="S52" s="51"/>
      <c r="U52" s="46"/>
      <c r="V52" s="51"/>
      <c r="W52" s="46"/>
      <c r="AA52" s="3"/>
      <c r="AB52" s="3"/>
      <c r="AC52" s="3"/>
    </row>
    <row r="53" spans="6:29" s="79" customFormat="1" x14ac:dyDescent="0.2">
      <c r="F53" s="46"/>
      <c r="G53" s="46"/>
      <c r="H53" s="46"/>
      <c r="I53" s="46"/>
      <c r="J53" s="50"/>
      <c r="K53" s="46"/>
      <c r="L53" s="51"/>
      <c r="M53" s="46"/>
      <c r="O53" s="46"/>
      <c r="P53" s="46"/>
      <c r="Q53" s="46"/>
      <c r="R53" s="46"/>
      <c r="S53" s="51"/>
      <c r="T53" s="3"/>
      <c r="U53" s="46"/>
      <c r="V53" s="51"/>
      <c r="W53" s="46"/>
      <c r="AA53" s="3"/>
      <c r="AB53" s="3"/>
      <c r="AC53" s="3"/>
    </row>
    <row r="54" spans="6:29" s="79" customFormat="1" x14ac:dyDescent="0.2">
      <c r="F54" s="46"/>
      <c r="G54" s="46"/>
      <c r="H54" s="46"/>
      <c r="I54" s="46"/>
      <c r="J54" s="50"/>
      <c r="K54" s="46"/>
      <c r="L54" s="51"/>
      <c r="M54" s="46"/>
      <c r="O54" s="46"/>
      <c r="P54" s="46"/>
      <c r="Q54" s="46"/>
      <c r="R54" s="46"/>
      <c r="S54" s="51"/>
      <c r="T54" s="3"/>
      <c r="U54" s="46"/>
      <c r="V54" s="51"/>
      <c r="W54" s="46"/>
    </row>
    <row r="55" spans="6:29" s="79" customFormat="1" ht="25.5" customHeight="1" x14ac:dyDescent="0.2">
      <c r="F55" s="46"/>
      <c r="G55" s="46"/>
      <c r="H55" s="46"/>
      <c r="I55" s="46"/>
      <c r="J55" s="50"/>
      <c r="K55" s="46"/>
      <c r="L55" s="51"/>
      <c r="M55" s="46"/>
      <c r="O55" s="46"/>
      <c r="P55" s="46"/>
      <c r="Q55" s="46"/>
      <c r="R55" s="46"/>
      <c r="S55" s="51"/>
      <c r="T55" s="3"/>
      <c r="U55" s="46"/>
      <c r="V55" s="51"/>
      <c r="W55" s="46"/>
    </row>
    <row r="56" spans="6:29" s="79" customFormat="1" ht="27" customHeight="1" x14ac:dyDescent="0.2">
      <c r="F56" s="46"/>
      <c r="G56" s="46"/>
      <c r="H56" s="46"/>
      <c r="I56" s="46"/>
      <c r="J56" s="50"/>
      <c r="K56" s="46"/>
      <c r="L56" s="51"/>
      <c r="M56" s="46"/>
      <c r="O56" s="46"/>
      <c r="P56" s="46"/>
      <c r="Q56" s="46"/>
      <c r="R56" s="46"/>
      <c r="S56" s="51"/>
      <c r="T56" s="3"/>
      <c r="U56" s="46"/>
      <c r="V56" s="51"/>
      <c r="W56" s="46"/>
    </row>
    <row r="57" spans="6:29" s="79" customFormat="1" x14ac:dyDescent="0.2">
      <c r="F57" s="295"/>
      <c r="G57" s="3"/>
      <c r="H57" s="3"/>
      <c r="I57" s="3"/>
      <c r="J57" s="50"/>
      <c r="K57" s="3"/>
      <c r="L57" s="53"/>
      <c r="M57" s="3"/>
      <c r="O57" s="3"/>
      <c r="P57" s="46"/>
      <c r="Q57" s="46"/>
      <c r="R57" s="46"/>
      <c r="S57" s="51"/>
      <c r="T57" s="3"/>
      <c r="U57" s="3"/>
      <c r="V57" s="53"/>
      <c r="W57" s="3"/>
    </row>
    <row r="58" spans="6:29" s="79" customFormat="1" x14ac:dyDescent="0.2">
      <c r="F58" s="295"/>
      <c r="G58" s="3"/>
      <c r="H58" s="3"/>
      <c r="I58" s="3"/>
      <c r="J58" s="50"/>
      <c r="K58" s="3"/>
      <c r="L58" s="53"/>
      <c r="M58" s="3"/>
      <c r="O58" s="3"/>
      <c r="P58" s="3"/>
      <c r="Q58" s="3"/>
      <c r="R58" s="46"/>
      <c r="S58" s="51"/>
      <c r="T58" s="3"/>
      <c r="U58" s="3"/>
      <c r="V58" s="53"/>
      <c r="W58" s="3"/>
    </row>
    <row r="59" spans="6:29" s="79" customFormat="1" x14ac:dyDescent="0.2">
      <c r="F59" s="295"/>
      <c r="G59" s="3"/>
      <c r="H59" s="3"/>
      <c r="I59" s="3"/>
      <c r="J59" s="50"/>
      <c r="K59" s="3"/>
      <c r="L59" s="53"/>
      <c r="M59" s="3"/>
      <c r="O59" s="3"/>
      <c r="P59" s="3"/>
      <c r="Q59" s="3"/>
      <c r="R59" s="46"/>
      <c r="S59" s="51"/>
      <c r="T59" s="3"/>
      <c r="U59" s="3"/>
      <c r="V59" s="53"/>
      <c r="W59" s="3"/>
    </row>
    <row r="60" spans="6:29" x14ac:dyDescent="0.2">
      <c r="AA60" s="79"/>
      <c r="AB60" s="79"/>
      <c r="AC60" s="79"/>
    </row>
  </sheetData>
  <mergeCells count="190">
    <mergeCell ref="B1:N1"/>
    <mergeCell ref="B2:N2"/>
    <mergeCell ref="B3:N3"/>
    <mergeCell ref="B4:N4"/>
    <mergeCell ref="C5:D5"/>
    <mergeCell ref="F5:N5"/>
    <mergeCell ref="B6:B8"/>
    <mergeCell ref="C6:C8"/>
    <mergeCell ref="D6:D8"/>
    <mergeCell ref="E6:E8"/>
    <mergeCell ref="F6:N6"/>
    <mergeCell ref="G7:J7"/>
    <mergeCell ref="K7:L7"/>
    <mergeCell ref="M7:N7"/>
    <mergeCell ref="W7:X7"/>
    <mergeCell ref="G8:J8"/>
    <mergeCell ref="K8:L8"/>
    <mergeCell ref="M8:N8"/>
    <mergeCell ref="W8:X8"/>
    <mergeCell ref="B9:B10"/>
    <mergeCell ref="C9:D10"/>
    <mergeCell ref="E9:E10"/>
    <mergeCell ref="G9:I9"/>
    <mergeCell ref="K9:K10"/>
    <mergeCell ref="X9:X10"/>
    <mergeCell ref="Y9:Y10"/>
    <mergeCell ref="G10:I10"/>
    <mergeCell ref="B11:B13"/>
    <mergeCell ref="C11:D13"/>
    <mergeCell ref="E11:E13"/>
    <mergeCell ref="G11:I11"/>
    <mergeCell ref="F12:F13"/>
    <mergeCell ref="G12:I13"/>
    <mergeCell ref="J12:J13"/>
    <mergeCell ref="L9:L10"/>
    <mergeCell ref="M9:M10"/>
    <mergeCell ref="N9:N10"/>
    <mergeCell ref="U9:U10"/>
    <mergeCell ref="V9:V10"/>
    <mergeCell ref="W9:W10"/>
    <mergeCell ref="W12:W13"/>
    <mergeCell ref="X12:X13"/>
    <mergeCell ref="V12:V13"/>
    <mergeCell ref="B14:B17"/>
    <mergeCell ref="C14:C17"/>
    <mergeCell ref="D14:D17"/>
    <mergeCell ref="E14:E17"/>
    <mergeCell ref="G14:G17"/>
    <mergeCell ref="H14:I14"/>
    <mergeCell ref="M14:M17"/>
    <mergeCell ref="U14:U17"/>
    <mergeCell ref="K12:K13"/>
    <mergeCell ref="L12:L13"/>
    <mergeCell ref="M12:M13"/>
    <mergeCell ref="N12:N13"/>
    <mergeCell ref="U12:U13"/>
    <mergeCell ref="M18:M19"/>
    <mergeCell ref="N18:N19"/>
    <mergeCell ref="K20:K21"/>
    <mergeCell ref="L20:L21"/>
    <mergeCell ref="M20:M21"/>
    <mergeCell ref="N20:N21"/>
    <mergeCell ref="V14:V17"/>
    <mergeCell ref="W14:W17"/>
    <mergeCell ref="H15:I15"/>
    <mergeCell ref="K15:K16"/>
    <mergeCell ref="L15:L16"/>
    <mergeCell ref="H16:I16"/>
    <mergeCell ref="H17:I17"/>
    <mergeCell ref="W20:W21"/>
    <mergeCell ref="B19:B23"/>
    <mergeCell ref="C19:D20"/>
    <mergeCell ref="E19:E20"/>
    <mergeCell ref="H19:I19"/>
    <mergeCell ref="H20:I20"/>
    <mergeCell ref="G18:G29"/>
    <mergeCell ref="H18:I18"/>
    <mergeCell ref="K18:K19"/>
    <mergeCell ref="L18:L19"/>
    <mergeCell ref="H23:I23"/>
    <mergeCell ref="K26:K27"/>
    <mergeCell ref="L26:L27"/>
    <mergeCell ref="X20:X21"/>
    <mergeCell ref="Y20:Y21"/>
    <mergeCell ref="Z20:Z21"/>
    <mergeCell ref="U18:U19"/>
    <mergeCell ref="V18:V19"/>
    <mergeCell ref="W18:W19"/>
    <mergeCell ref="X18:X19"/>
    <mergeCell ref="Y18:Y19"/>
    <mergeCell ref="X22:X23"/>
    <mergeCell ref="Y22:Y23"/>
    <mergeCell ref="Z22:Z23"/>
    <mergeCell ref="AA23:AC23"/>
    <mergeCell ref="B24:B25"/>
    <mergeCell ref="C24:C25"/>
    <mergeCell ref="H24:I24"/>
    <mergeCell ref="K24:K25"/>
    <mergeCell ref="L24:L25"/>
    <mergeCell ref="L22:L23"/>
    <mergeCell ref="M22:M23"/>
    <mergeCell ref="N22:N23"/>
    <mergeCell ref="U22:U23"/>
    <mergeCell ref="V22:V23"/>
    <mergeCell ref="W22:W23"/>
    <mergeCell ref="C21:C23"/>
    <mergeCell ref="D21:D26"/>
    <mergeCell ref="E21:E26"/>
    <mergeCell ref="H21:I21"/>
    <mergeCell ref="H22:I22"/>
    <mergeCell ref="K22:K23"/>
    <mergeCell ref="U20:U21"/>
    <mergeCell ref="V20:V21"/>
    <mergeCell ref="Y24:Y25"/>
    <mergeCell ref="Z24:Z25"/>
    <mergeCell ref="H25:I25"/>
    <mergeCell ref="H26:I26"/>
    <mergeCell ref="M26:M27"/>
    <mergeCell ref="N26:N27"/>
    <mergeCell ref="U26:U27"/>
    <mergeCell ref="V26:V27"/>
    <mergeCell ref="M24:M25"/>
    <mergeCell ref="N24:N25"/>
    <mergeCell ref="U24:U25"/>
    <mergeCell ref="V24:V25"/>
    <mergeCell ref="W24:W25"/>
    <mergeCell ref="X24:X25"/>
    <mergeCell ref="W26:W27"/>
    <mergeCell ref="X26:X27"/>
    <mergeCell ref="Y26:Y27"/>
    <mergeCell ref="Z26:Z27"/>
    <mergeCell ref="B27:B34"/>
    <mergeCell ref="C27:D34"/>
    <mergeCell ref="E27:E34"/>
    <mergeCell ref="H27:I27"/>
    <mergeCell ref="H28:I28"/>
    <mergeCell ref="K28:K29"/>
    <mergeCell ref="X28:X29"/>
    <mergeCell ref="Y28:Y29"/>
    <mergeCell ref="Z28:Z29"/>
    <mergeCell ref="H29:I29"/>
    <mergeCell ref="G30:G33"/>
    <mergeCell ref="H30:I30"/>
    <mergeCell ref="K30:K31"/>
    <mergeCell ref="L30:L31"/>
    <mergeCell ref="M30:M31"/>
    <mergeCell ref="N30:N31"/>
    <mergeCell ref="L28:L29"/>
    <mergeCell ref="M28:M29"/>
    <mergeCell ref="N28:N29"/>
    <mergeCell ref="U28:U29"/>
    <mergeCell ref="V28:V29"/>
    <mergeCell ref="W28:W29"/>
    <mergeCell ref="U32:U33"/>
    <mergeCell ref="V32:V33"/>
    <mergeCell ref="W32:W33"/>
    <mergeCell ref="X32:X33"/>
    <mergeCell ref="Y32:Y33"/>
    <mergeCell ref="Z32:Z33"/>
    <mergeCell ref="W30:W31"/>
    <mergeCell ref="X30:X31"/>
    <mergeCell ref="Y30:Y31"/>
    <mergeCell ref="Z30:Z31"/>
    <mergeCell ref="H31:I31"/>
    <mergeCell ref="H32:I32"/>
    <mergeCell ref="K32:K33"/>
    <mergeCell ref="L32:L33"/>
    <mergeCell ref="M32:M33"/>
    <mergeCell ref="N32:N33"/>
    <mergeCell ref="H33:I33"/>
    <mergeCell ref="U30:U31"/>
    <mergeCell ref="V30:V31"/>
    <mergeCell ref="R42:S42"/>
    <mergeCell ref="R43:S43"/>
    <mergeCell ref="B39:B40"/>
    <mergeCell ref="C39:C40"/>
    <mergeCell ref="E39:E40"/>
    <mergeCell ref="F39:H39"/>
    <mergeCell ref="I39:J39"/>
    <mergeCell ref="K39:M39"/>
    <mergeCell ref="F34:K35"/>
    <mergeCell ref="L34:L35"/>
    <mergeCell ref="N34:N35"/>
    <mergeCell ref="B35:B38"/>
    <mergeCell ref="C35:C38"/>
    <mergeCell ref="D35:D40"/>
    <mergeCell ref="E35:E38"/>
    <mergeCell ref="H36:M37"/>
    <mergeCell ref="G38:I38"/>
    <mergeCell ref="K38:M38"/>
  </mergeCells>
  <pageMargins left="0.7" right="0.7" top="0.78740157499999996" bottom="0.78740157499999996" header="0.3" footer="0.3"/>
  <drawing r:id="rId1"/>
  <legacyDrawing r:id="rId2"/>
  <oleObjects>
    <mc:AlternateContent xmlns:mc="http://schemas.openxmlformats.org/markup-compatibility/2006">
      <mc:Choice Requires="x14">
        <oleObject progId="Word.Picture.8" shapeId="2049" r:id="rId3">
          <objectPr defaultSize="0" autoPict="0" r:id="rId4">
            <anchor moveWithCells="1" sizeWithCells="1">
              <from>
                <xdr:col>1</xdr:col>
                <xdr:colOff>104775</xdr:colOff>
                <xdr:row>0</xdr:row>
                <xdr:rowOff>38100</xdr:rowOff>
              </from>
              <to>
                <xdr:col>5</xdr:col>
                <xdr:colOff>104775</xdr:colOff>
                <xdr:row>3</xdr:row>
                <xdr:rowOff>180975</xdr:rowOff>
              </to>
            </anchor>
          </objectPr>
        </oleObject>
      </mc:Choice>
      <mc:Fallback>
        <oleObject progId="Word.Picture.8" shapeId="2049" r:id="rId3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O192"/>
  <sheetViews>
    <sheetView topLeftCell="D1" zoomScaleNormal="100" workbookViewId="0">
      <selection activeCell="DB3" sqref="DB3"/>
    </sheetView>
  </sheetViews>
  <sheetFormatPr defaultRowHeight="15.75" x14ac:dyDescent="0.25"/>
  <cols>
    <col min="1" max="1" width="6" style="47" customWidth="1"/>
    <col min="2" max="3" width="3.42578125" style="48" customWidth="1"/>
    <col min="4" max="5" width="3.42578125" style="735" customWidth="1"/>
    <col min="6" max="6" width="3.42578125" style="49" customWidth="1"/>
    <col min="7" max="7" width="5.85546875" style="52" customWidth="1"/>
    <col min="8" max="8" width="5.85546875" style="3" customWidth="1"/>
    <col min="9" max="9" width="10" style="3" customWidth="1"/>
    <col min="10" max="10" width="7.28515625" style="3" customWidth="1"/>
    <col min="11" max="11" width="16.42578125" style="50" customWidth="1"/>
    <col min="12" max="12" width="12.140625" style="3" customWidth="1"/>
    <col min="13" max="13" width="8.28515625" style="53" customWidth="1"/>
    <col min="14" max="14" width="8.7109375" style="3" customWidth="1"/>
    <col min="15" max="16" width="8.28515625" style="53" customWidth="1"/>
    <col min="17" max="19" width="9.140625" style="3" customWidth="1"/>
    <col min="20" max="20" width="8.85546875" style="3" customWidth="1"/>
    <col min="21" max="22" width="8.28515625" style="122" hidden="1" customWidth="1"/>
    <col min="23" max="23" width="8.7109375" style="122" hidden="1" customWidth="1"/>
    <col min="24" max="24" width="8.28515625" style="197" hidden="1" customWidth="1"/>
    <col min="25" max="25" width="9.140625" style="122" hidden="1" customWidth="1"/>
    <col min="26" max="26" width="14.5703125" style="52" hidden="1" customWidth="1"/>
    <col min="27" max="28" width="5.5703125" style="52" hidden="1" customWidth="1"/>
    <col min="29" max="29" width="5.28515625" style="3" hidden="1" customWidth="1"/>
    <col min="30" max="31" width="11.5703125" style="3" hidden="1" customWidth="1"/>
    <col min="32" max="32" width="9.140625" style="3" hidden="1" customWidth="1"/>
    <col min="33" max="33" width="0.42578125" style="3" hidden="1" customWidth="1"/>
    <col min="34" max="34" width="11.5703125" style="3" hidden="1" customWidth="1"/>
    <col min="35" max="36" width="9.140625" style="3" hidden="1" customWidth="1"/>
    <col min="37" max="38" width="11.5703125" style="3" hidden="1" customWidth="1"/>
    <col min="39" max="46" width="9.140625" style="3" hidden="1" customWidth="1"/>
    <col min="47" max="48" width="9.140625" style="176" hidden="1" customWidth="1"/>
    <col min="49" max="64" width="9.140625" style="3" hidden="1" customWidth="1"/>
    <col min="65" max="65" width="0" hidden="1" customWidth="1"/>
    <col min="66" max="67" width="9.140625" style="176" hidden="1" customWidth="1"/>
    <col min="68" max="82" width="9.140625" style="3" hidden="1" customWidth="1"/>
    <col min="83" max="83" width="9.140625" style="191" hidden="1" customWidth="1"/>
    <col min="84" max="84" width="0" hidden="1" customWidth="1"/>
    <col min="85" max="85" width="19.140625" hidden="1" customWidth="1"/>
    <col min="86" max="89" width="0" hidden="1" customWidth="1"/>
    <col min="90" max="90" width="18.7109375" hidden="1" customWidth="1"/>
    <col min="91" max="93" width="0" hidden="1" customWidth="1"/>
    <col min="94" max="102" width="0" style="3" hidden="1" customWidth="1"/>
    <col min="103" max="16384" width="9.140625" style="3"/>
  </cols>
  <sheetData>
    <row r="1" spans="1:93" x14ac:dyDescent="0.25">
      <c r="F1" s="749"/>
      <c r="G1" s="750"/>
      <c r="H1" s="750"/>
      <c r="I1" s="750"/>
      <c r="J1" s="750"/>
      <c r="K1" s="750"/>
      <c r="L1" s="750"/>
      <c r="M1" s="750"/>
      <c r="N1" s="750"/>
      <c r="O1" s="751"/>
      <c r="Z1" s="323"/>
      <c r="AA1" s="323"/>
      <c r="AB1" s="323"/>
    </row>
    <row r="2" spans="1:93" ht="18.75" x14ac:dyDescent="0.3">
      <c r="F2" s="752" t="s">
        <v>235</v>
      </c>
      <c r="G2" s="746"/>
      <c r="H2" s="746"/>
      <c r="I2" s="746"/>
      <c r="J2" s="746"/>
      <c r="K2" s="746"/>
      <c r="L2" s="746"/>
      <c r="M2" s="746"/>
      <c r="N2" s="746"/>
      <c r="O2" s="753"/>
      <c r="Z2" s="323"/>
      <c r="AA2" s="323"/>
      <c r="AB2" s="323"/>
    </row>
    <row r="3" spans="1:93" ht="18.75" x14ac:dyDescent="0.3">
      <c r="F3" s="752" t="s">
        <v>236</v>
      </c>
      <c r="G3" s="746"/>
      <c r="H3" s="746"/>
      <c r="I3" s="746"/>
      <c r="J3" s="746"/>
      <c r="K3" s="746"/>
      <c r="L3" s="746"/>
      <c r="M3" s="746"/>
      <c r="N3" s="746"/>
      <c r="O3" s="753"/>
      <c r="Z3" s="323"/>
      <c r="AA3" s="323"/>
      <c r="AB3" s="323"/>
    </row>
    <row r="4" spans="1:93" ht="31.5" customHeight="1" thickBot="1" x14ac:dyDescent="0.3">
      <c r="F4" s="754"/>
      <c r="G4" s="747"/>
      <c r="H4" s="747"/>
      <c r="I4" s="747"/>
      <c r="J4" s="747"/>
      <c r="K4" s="747"/>
      <c r="L4" s="747"/>
      <c r="M4" s="747"/>
      <c r="N4" s="747"/>
      <c r="O4" s="755"/>
      <c r="Z4" s="323"/>
      <c r="AA4" s="323"/>
      <c r="AB4" s="323"/>
    </row>
    <row r="5" spans="1:93" s="1" customFormat="1" ht="18" customHeight="1" x14ac:dyDescent="0.3">
      <c r="A5" s="124" t="str">
        <f>AA11</f>
        <v/>
      </c>
      <c r="B5" s="425" t="s">
        <v>0</v>
      </c>
      <c r="C5" s="425"/>
      <c r="D5" s="735"/>
      <c r="E5" s="735"/>
      <c r="F5" s="737" t="s">
        <v>1</v>
      </c>
      <c r="G5" s="411" t="s">
        <v>232</v>
      </c>
      <c r="H5" s="411"/>
      <c r="I5" s="411"/>
      <c r="J5" s="411"/>
      <c r="K5" s="411"/>
      <c r="L5" s="411"/>
      <c r="M5" s="411"/>
      <c r="N5" s="411"/>
      <c r="O5" s="412"/>
      <c r="P5" s="313"/>
      <c r="Q5" s="3"/>
      <c r="R5" s="3"/>
      <c r="S5" s="3"/>
      <c r="U5" s="121"/>
      <c r="V5" s="121"/>
      <c r="W5" s="121"/>
      <c r="X5" s="121"/>
      <c r="Y5" s="121"/>
      <c r="Z5" s="136"/>
      <c r="AA5" s="136" t="str">
        <f>IF(A6&gt;239.99,"II","")</f>
        <v/>
      </c>
      <c r="AB5" s="136" t="str">
        <f>IF(A6&gt;254.99,"I","")</f>
        <v/>
      </c>
      <c r="AH5" s="426" t="s">
        <v>192</v>
      </c>
      <c r="AI5" s="426"/>
      <c r="AJ5" s="426"/>
      <c r="AK5" s="52"/>
      <c r="AL5" s="52"/>
      <c r="AM5" s="426" t="s">
        <v>193</v>
      </c>
      <c r="AN5" s="426"/>
      <c r="AO5" s="426"/>
      <c r="AP5" s="52"/>
      <c r="AQ5" s="52"/>
      <c r="AU5" s="176"/>
      <c r="AV5" s="176"/>
      <c r="BM5"/>
      <c r="BN5" s="176"/>
      <c r="BO5" s="176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191"/>
      <c r="CF5"/>
      <c r="CG5"/>
      <c r="CH5"/>
      <c r="CI5"/>
      <c r="CJ5"/>
      <c r="CK5"/>
      <c r="CL5"/>
      <c r="CM5"/>
      <c r="CN5"/>
      <c r="CO5"/>
    </row>
    <row r="6" spans="1:93" ht="13.5" customHeight="1" thickBot="1" x14ac:dyDescent="0.3">
      <c r="A6" s="427">
        <f>O41</f>
        <v>0</v>
      </c>
      <c r="B6" s="430" t="s">
        <v>2</v>
      </c>
      <c r="C6" s="430"/>
      <c r="D6" s="736"/>
      <c r="E6" s="736"/>
      <c r="F6" s="738" t="s">
        <v>3</v>
      </c>
      <c r="G6" s="422" t="s">
        <v>131</v>
      </c>
      <c r="H6" s="422"/>
      <c r="I6" s="422"/>
      <c r="J6" s="422"/>
      <c r="K6" s="422"/>
      <c r="L6" s="422"/>
      <c r="M6" s="422"/>
      <c r="N6" s="422"/>
      <c r="O6" s="423"/>
      <c r="P6" s="308"/>
      <c r="X6" s="122"/>
      <c r="AH6" s="3">
        <v>1</v>
      </c>
      <c r="AI6" s="3">
        <v>2</v>
      </c>
      <c r="AJ6" s="3">
        <v>3</v>
      </c>
      <c r="AM6" s="3">
        <v>1</v>
      </c>
      <c r="AN6" s="3">
        <v>2</v>
      </c>
      <c r="AO6" s="3">
        <v>3</v>
      </c>
      <c r="AW6" s="177"/>
      <c r="AX6" s="177"/>
      <c r="AY6" s="177"/>
      <c r="AZ6" s="177"/>
      <c r="BA6" s="177"/>
      <c r="BB6" s="177"/>
      <c r="BC6" s="177"/>
      <c r="BD6" s="177"/>
      <c r="BN6" s="184"/>
      <c r="BO6" s="184"/>
    </row>
    <row r="7" spans="1:93" s="7" customFormat="1" ht="11.25" customHeight="1" x14ac:dyDescent="0.25">
      <c r="A7" s="428"/>
      <c r="B7" s="430"/>
      <c r="C7" s="430"/>
      <c r="D7" s="736"/>
      <c r="E7" s="736"/>
      <c r="F7" s="739"/>
      <c r="G7" s="4" t="s">
        <v>5</v>
      </c>
      <c r="H7" s="424" t="s">
        <v>6</v>
      </c>
      <c r="I7" s="424"/>
      <c r="J7" s="424"/>
      <c r="K7" s="424"/>
      <c r="L7" s="424" t="s">
        <v>7</v>
      </c>
      <c r="M7" s="424"/>
      <c r="N7" s="317" t="s">
        <v>8</v>
      </c>
      <c r="O7" s="6" t="s">
        <v>9</v>
      </c>
      <c r="P7" s="179"/>
      <c r="U7" s="178"/>
      <c r="V7" s="178"/>
      <c r="W7" s="178"/>
      <c r="X7" s="179"/>
      <c r="Y7" s="178"/>
      <c r="AH7" s="1" t="s">
        <v>195</v>
      </c>
      <c r="AI7" s="1" t="s">
        <v>196</v>
      </c>
      <c r="AJ7" s="1" t="s">
        <v>197</v>
      </c>
      <c r="AK7" s="1"/>
      <c r="AL7" s="1"/>
      <c r="AM7" s="1" t="s">
        <v>195</v>
      </c>
      <c r="AN7" s="1" t="s">
        <v>196</v>
      </c>
      <c r="AO7" s="1" t="s">
        <v>197</v>
      </c>
      <c r="AP7" s="1"/>
      <c r="AQ7" s="1"/>
      <c r="AU7" s="180"/>
      <c r="AV7" s="180"/>
      <c r="AW7" s="181"/>
      <c r="AX7" s="181"/>
      <c r="AY7" s="181"/>
      <c r="AZ7" s="181"/>
      <c r="BA7" s="181"/>
      <c r="BB7" s="181"/>
      <c r="BC7" s="181"/>
      <c r="BD7" s="181"/>
      <c r="BM7"/>
      <c r="BN7" s="176"/>
      <c r="BO7" s="176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191"/>
      <c r="CF7"/>
      <c r="CG7"/>
      <c r="CH7"/>
      <c r="CI7"/>
      <c r="CJ7"/>
      <c r="CK7"/>
      <c r="CL7"/>
      <c r="CM7"/>
      <c r="CN7"/>
      <c r="CO7"/>
    </row>
    <row r="8" spans="1:93" s="13" customFormat="1" ht="21" customHeight="1" thickBot="1" x14ac:dyDescent="0.3">
      <c r="A8" s="428"/>
      <c r="B8" s="430"/>
      <c r="C8" s="430"/>
      <c r="D8" s="736"/>
      <c r="E8" s="736"/>
      <c r="F8" s="739"/>
      <c r="G8" s="10" t="s">
        <v>10</v>
      </c>
      <c r="H8" s="437" t="s">
        <v>11</v>
      </c>
      <c r="I8" s="437"/>
      <c r="J8" s="437"/>
      <c r="K8" s="438"/>
      <c r="L8" s="439" t="s">
        <v>12</v>
      </c>
      <c r="M8" s="440"/>
      <c r="N8" s="322" t="s">
        <v>13</v>
      </c>
      <c r="O8" s="12" t="s">
        <v>14</v>
      </c>
      <c r="P8" s="183"/>
      <c r="U8" s="182"/>
      <c r="V8" s="182"/>
      <c r="W8" s="61"/>
      <c r="X8" s="183"/>
      <c r="Y8" s="182"/>
      <c r="Z8" s="133"/>
      <c r="AA8" s="133"/>
      <c r="AB8" s="133"/>
      <c r="AH8" s="133" t="str">
        <f t="shared" ref="AH8:AH18" si="0">IF(R12&gt;15,$AH$6,"")</f>
        <v/>
      </c>
      <c r="AI8" s="133" t="str">
        <f t="shared" ref="AI8:AI18" si="1">IF(R12&gt;10,$AI$6,"")</f>
        <v/>
      </c>
      <c r="AJ8" s="133" t="str">
        <f t="shared" ref="AJ8:AJ18" si="2">IF(R12&gt;1.99,$AJ$6,"")</f>
        <v/>
      </c>
      <c r="AK8" s="133">
        <f>MIN(AH8,AI8,AJ8)</f>
        <v>0</v>
      </c>
      <c r="AL8" s="133" t="str">
        <f>IF(AK8&gt;0,AK8,"")</f>
        <v/>
      </c>
      <c r="AM8" s="133" t="str">
        <f t="shared" ref="AM8:AM18" si="3">IF(S12&gt;15,$AM$6,"")</f>
        <v/>
      </c>
      <c r="AN8" s="133" t="str">
        <f t="shared" ref="AN8:AN18" si="4">IF(S12&gt;10,$AN$6,"")</f>
        <v/>
      </c>
      <c r="AO8" s="133" t="str">
        <f t="shared" ref="AO8:AO18" si="5">IF(S12&gt;1.99,$AO$6,"")</f>
        <v/>
      </c>
      <c r="AP8" s="133">
        <f>MIN(AM8,AN8,AO8)</f>
        <v>0</v>
      </c>
      <c r="AQ8" s="133" t="str">
        <f>IF(AP8&gt;0,AP8,"")</f>
        <v/>
      </c>
      <c r="AU8" s="180"/>
      <c r="AV8" s="180"/>
      <c r="AW8" s="184"/>
      <c r="AX8" s="184"/>
      <c r="AY8" s="184"/>
      <c r="AZ8" s="184"/>
      <c r="BA8" s="184"/>
      <c r="BB8" s="184"/>
      <c r="BC8" s="181"/>
      <c r="BD8" s="181"/>
      <c r="BM8"/>
      <c r="BN8" s="176"/>
      <c r="BO8" s="176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286"/>
      <c r="CF8"/>
      <c r="CG8"/>
      <c r="CH8"/>
      <c r="CI8"/>
      <c r="CJ8"/>
      <c r="CK8"/>
      <c r="CL8"/>
      <c r="CM8"/>
      <c r="CN8"/>
      <c r="CO8"/>
    </row>
    <row r="9" spans="1:93" s="13" customFormat="1" ht="24.75" customHeight="1" x14ac:dyDescent="0.25">
      <c r="A9" s="429"/>
      <c r="B9" s="430"/>
      <c r="C9" s="430"/>
      <c r="D9" s="736"/>
      <c r="E9" s="736"/>
      <c r="F9" s="739"/>
      <c r="G9" s="318">
        <v>1</v>
      </c>
      <c r="H9" s="435" t="s">
        <v>15</v>
      </c>
      <c r="I9" s="435"/>
      <c r="J9" s="436"/>
      <c r="K9" s="325"/>
      <c r="L9" s="441" t="s">
        <v>16</v>
      </c>
      <c r="M9" s="443">
        <f>U9</f>
        <v>0</v>
      </c>
      <c r="N9" s="451">
        <v>0.5</v>
      </c>
      <c r="O9" s="447">
        <f>TRUNC(X9,2)</f>
        <v>0</v>
      </c>
      <c r="P9" s="310"/>
      <c r="U9" s="445">
        <f>TRUNC(V9,2)</f>
        <v>0</v>
      </c>
      <c r="V9" s="445">
        <f>(K9+K10)/2</f>
        <v>0</v>
      </c>
      <c r="W9" s="445">
        <v>0.5</v>
      </c>
      <c r="X9" s="449">
        <f>U9*N9</f>
        <v>0</v>
      </c>
      <c r="Y9" s="182"/>
      <c r="Z9" s="133" t="str">
        <f>IF(A6&gt;169.99,Z15,"")</f>
        <v/>
      </c>
      <c r="AA9" s="133" t="str">
        <f>IF(A6&gt;189.99,AA15,"")</f>
        <v/>
      </c>
      <c r="AB9" s="133" t="str">
        <f>IF(A6&gt;209.99,AB15,"")</f>
        <v/>
      </c>
      <c r="AH9" s="133" t="str">
        <f t="shared" si="0"/>
        <v/>
      </c>
      <c r="AI9" s="133" t="str">
        <f t="shared" si="1"/>
        <v/>
      </c>
      <c r="AJ9" s="133" t="str">
        <f t="shared" si="2"/>
        <v/>
      </c>
      <c r="AK9" s="133">
        <f t="shared" ref="AK9:AK18" si="6">MIN(AH9,AI9,AJ9)</f>
        <v>0</v>
      </c>
      <c r="AL9" s="133" t="str">
        <f t="shared" ref="AL9:AL18" si="7">IF(AK9&gt;0,AK9,"")</f>
        <v/>
      </c>
      <c r="AM9" s="133" t="str">
        <f t="shared" si="3"/>
        <v/>
      </c>
      <c r="AN9" s="133" t="str">
        <f t="shared" si="4"/>
        <v/>
      </c>
      <c r="AO9" s="133" t="str">
        <f t="shared" si="5"/>
        <v/>
      </c>
      <c r="AP9" s="133">
        <f t="shared" ref="AP9:AP18" si="8">MIN(AM9,AN9,AO9)</f>
        <v>0</v>
      </c>
      <c r="AQ9" s="133" t="str">
        <f t="shared" ref="AQ9:AQ18" si="9">IF(AP9&gt;0,AP9,"")</f>
        <v/>
      </c>
      <c r="AU9" s="180"/>
      <c r="AV9" s="180"/>
      <c r="AW9" s="184"/>
      <c r="AX9" s="184"/>
      <c r="AY9" s="184"/>
      <c r="AZ9" s="184"/>
      <c r="BA9" s="184"/>
      <c r="BB9" s="184"/>
      <c r="BC9" s="181"/>
      <c r="BD9" s="181"/>
      <c r="BM9"/>
      <c r="BN9" s="176" t="s">
        <v>44</v>
      </c>
      <c r="BO9" s="176" t="s">
        <v>194</v>
      </c>
      <c r="BP9" s="177">
        <v>5</v>
      </c>
      <c r="BQ9" s="177">
        <v>6</v>
      </c>
      <c r="BR9" s="177">
        <v>7</v>
      </c>
      <c r="BS9" s="177">
        <v>8</v>
      </c>
      <c r="BT9" s="177">
        <v>9</v>
      </c>
      <c r="BU9" s="177">
        <v>10</v>
      </c>
      <c r="BV9" s="177">
        <v>11</v>
      </c>
      <c r="BW9" s="177">
        <v>12</v>
      </c>
      <c r="BX9" s="177">
        <v>13</v>
      </c>
      <c r="BY9" s="177">
        <v>14</v>
      </c>
      <c r="BZ9" s="177">
        <v>15</v>
      </c>
      <c r="CA9" s="177">
        <v>16</v>
      </c>
      <c r="CB9" s="177">
        <v>17</v>
      </c>
      <c r="CC9" s="177">
        <v>18</v>
      </c>
      <c r="CD9" s="177">
        <v>19</v>
      </c>
      <c r="CE9" s="287">
        <v>20</v>
      </c>
      <c r="CF9" s="177"/>
      <c r="CG9" t="s">
        <v>211</v>
      </c>
      <c r="CH9"/>
      <c r="CI9" t="s">
        <v>195</v>
      </c>
      <c r="CJ9">
        <f>Jelen!AS19</f>
        <v>0</v>
      </c>
      <c r="CK9"/>
      <c r="CL9" t="e">
        <f>LOOKUP(CJ12,BP9:BW9)</f>
        <v>#N/A</v>
      </c>
      <c r="CM9"/>
      <c r="CN9"/>
      <c r="CO9"/>
    </row>
    <row r="10" spans="1:93" s="13" customFormat="1" ht="24.75" customHeight="1" x14ac:dyDescent="0.2">
      <c r="A10" s="432"/>
      <c r="B10" s="433" t="s">
        <v>17</v>
      </c>
      <c r="C10" s="433"/>
      <c r="D10" s="734"/>
      <c r="E10" s="734"/>
      <c r="F10" s="740" t="s">
        <v>18</v>
      </c>
      <c r="G10" s="318">
        <v>2</v>
      </c>
      <c r="H10" s="435" t="s">
        <v>19</v>
      </c>
      <c r="I10" s="435"/>
      <c r="J10" s="436"/>
      <c r="K10" s="319"/>
      <c r="L10" s="442"/>
      <c r="M10" s="444"/>
      <c r="N10" s="452"/>
      <c r="O10" s="448"/>
      <c r="P10" s="310"/>
      <c r="R10" s="450" t="s">
        <v>225</v>
      </c>
      <c r="S10" s="450"/>
      <c r="U10" s="445"/>
      <c r="V10" s="445"/>
      <c r="W10" s="445"/>
      <c r="X10" s="449"/>
      <c r="Y10" s="182"/>
      <c r="Z10" s="133"/>
      <c r="AA10" s="134">
        <f>MIN(Z9,AA9,AB9)</f>
        <v>0</v>
      </c>
      <c r="AB10" s="133"/>
      <c r="AH10" s="133" t="str">
        <f t="shared" si="0"/>
        <v/>
      </c>
      <c r="AI10" s="133" t="str">
        <f t="shared" si="1"/>
        <v/>
      </c>
      <c r="AJ10" s="133" t="str">
        <f t="shared" si="2"/>
        <v/>
      </c>
      <c r="AK10" s="133">
        <f t="shared" si="6"/>
        <v>0</v>
      </c>
      <c r="AL10" s="133" t="str">
        <f t="shared" si="7"/>
        <v/>
      </c>
      <c r="AM10" s="133" t="str">
        <f t="shared" si="3"/>
        <v/>
      </c>
      <c r="AN10" s="133" t="str">
        <f t="shared" si="4"/>
        <v/>
      </c>
      <c r="AO10" s="133" t="str">
        <f t="shared" si="5"/>
        <v/>
      </c>
      <c r="AP10" s="133">
        <f t="shared" si="8"/>
        <v>0</v>
      </c>
      <c r="AQ10" s="133" t="str">
        <f t="shared" si="9"/>
        <v/>
      </c>
      <c r="AU10" s="180"/>
      <c r="AV10" s="180"/>
      <c r="AW10" s="184"/>
      <c r="AX10" s="184"/>
      <c r="AY10" s="184"/>
      <c r="AZ10" s="184"/>
      <c r="BA10" s="184"/>
      <c r="BB10" s="184"/>
      <c r="BC10" s="184"/>
      <c r="BD10" s="181"/>
      <c r="BM10" t="str">
        <f>IF(BN10&amp;BO10=$CJ$9&amp;$CJ$10,"OK","")</f>
        <v>OK</v>
      </c>
      <c r="BN10" s="180">
        <v>0</v>
      </c>
      <c r="BO10" s="180">
        <v>0</v>
      </c>
      <c r="BP10" s="181">
        <v>1</v>
      </c>
      <c r="BQ10" s="181">
        <v>1.5</v>
      </c>
      <c r="BR10" s="181">
        <v>2</v>
      </c>
      <c r="BS10" s="181">
        <v>4</v>
      </c>
      <c r="BT10" s="181">
        <v>5</v>
      </c>
      <c r="BU10" s="181">
        <v>6</v>
      </c>
      <c r="BV10" s="181">
        <v>6.5</v>
      </c>
      <c r="BW10" s="181">
        <v>7</v>
      </c>
      <c r="BX10" s="181"/>
      <c r="BY10" s="181"/>
      <c r="BZ10" s="181"/>
      <c r="CA10" s="181"/>
      <c r="CB10" s="181"/>
      <c r="CC10" s="181"/>
      <c r="CD10" s="181"/>
      <c r="CE10" s="288"/>
      <c r="CF10"/>
      <c r="CG10" t="s">
        <v>212</v>
      </c>
      <c r="CH10"/>
      <c r="CI10" t="s">
        <v>196</v>
      </c>
      <c r="CJ10">
        <f>Jelen!AS20</f>
        <v>0</v>
      </c>
      <c r="CK10"/>
      <c r="CL10"/>
      <c r="CM10"/>
      <c r="CN10"/>
      <c r="CO10"/>
    </row>
    <row r="11" spans="1:93" s="13" customFormat="1" ht="24.75" customHeight="1" x14ac:dyDescent="0.2">
      <c r="A11" s="432"/>
      <c r="B11" s="433"/>
      <c r="C11" s="433"/>
      <c r="D11" s="734"/>
      <c r="E11" s="734"/>
      <c r="F11" s="740"/>
      <c r="G11" s="318">
        <v>3</v>
      </c>
      <c r="H11" s="435" t="s">
        <v>20</v>
      </c>
      <c r="I11" s="435"/>
      <c r="J11" s="436"/>
      <c r="K11" s="319"/>
      <c r="L11" s="441" t="s">
        <v>16</v>
      </c>
      <c r="M11" s="443">
        <f>U11</f>
        <v>0</v>
      </c>
      <c r="N11" s="451">
        <v>0.25</v>
      </c>
      <c r="O11" s="448">
        <f>TRUNC(X11,2)</f>
        <v>0</v>
      </c>
      <c r="P11" s="310"/>
      <c r="Q11" s="1"/>
      <c r="R11" s="1" t="s">
        <v>192</v>
      </c>
      <c r="S11" s="1" t="s">
        <v>193</v>
      </c>
      <c r="U11" s="445">
        <f>TRUNC(V11,2)</f>
        <v>0</v>
      </c>
      <c r="V11" s="445">
        <f>(K11+K12)/2</f>
        <v>0</v>
      </c>
      <c r="W11" s="445">
        <v>0.25</v>
      </c>
      <c r="X11" s="446">
        <f>U11*N11</f>
        <v>0</v>
      </c>
      <c r="Y11" s="182"/>
      <c r="Z11" s="150"/>
      <c r="AA11" s="150" t="str">
        <f>ROMAN(AA10)</f>
        <v/>
      </c>
      <c r="AB11" s="150"/>
      <c r="AC11" s="142"/>
      <c r="AD11" s="142"/>
      <c r="AE11" s="142"/>
      <c r="AF11" s="13">
        <v>41</v>
      </c>
      <c r="AH11" s="133" t="str">
        <f t="shared" si="0"/>
        <v/>
      </c>
      <c r="AI11" s="133" t="str">
        <f t="shared" si="1"/>
        <v/>
      </c>
      <c r="AJ11" s="133" t="str">
        <f t="shared" si="2"/>
        <v/>
      </c>
      <c r="AK11" s="133">
        <f t="shared" si="6"/>
        <v>0</v>
      </c>
      <c r="AL11" s="133" t="str">
        <f t="shared" si="7"/>
        <v/>
      </c>
      <c r="AM11" s="133" t="str">
        <f t="shared" si="3"/>
        <v/>
      </c>
      <c r="AN11" s="133" t="str">
        <f t="shared" si="4"/>
        <v/>
      </c>
      <c r="AO11" s="133" t="str">
        <f t="shared" si="5"/>
        <v/>
      </c>
      <c r="AP11" s="133">
        <f t="shared" si="8"/>
        <v>0</v>
      </c>
      <c r="AQ11" s="133" t="str">
        <f t="shared" si="9"/>
        <v/>
      </c>
      <c r="AU11" s="180"/>
      <c r="AV11" s="180"/>
      <c r="AW11" s="184"/>
      <c r="AX11" s="184"/>
      <c r="AY11" s="184"/>
      <c r="AZ11" s="184"/>
      <c r="BA11" s="184"/>
      <c r="BB11" s="184"/>
      <c r="BC11" s="184"/>
      <c r="BD11" s="184"/>
      <c r="BM11" t="str">
        <f t="shared" ref="BM11:BM74" si="10">IF(BN11&amp;BO11=$CJ$9&amp;$CJ$10,"OK","")</f>
        <v/>
      </c>
      <c r="BN11" s="180">
        <v>0</v>
      </c>
      <c r="BO11" s="180">
        <v>1</v>
      </c>
      <c r="BP11" s="184">
        <v>1.5</v>
      </c>
      <c r="BQ11" s="184">
        <v>2</v>
      </c>
      <c r="BR11" s="184">
        <v>2.5</v>
      </c>
      <c r="BS11" s="184">
        <v>4</v>
      </c>
      <c r="BT11" s="184">
        <v>5.5</v>
      </c>
      <c r="BU11" s="184">
        <v>6</v>
      </c>
      <c r="BV11" s="181">
        <v>6.5</v>
      </c>
      <c r="BW11" s="181">
        <v>7</v>
      </c>
      <c r="BX11" s="181"/>
      <c r="BY11" s="181"/>
      <c r="BZ11" s="181"/>
      <c r="CA11" s="181"/>
      <c r="CB11" s="181"/>
      <c r="CC11" s="181"/>
      <c r="CD11" s="181"/>
      <c r="CE11" s="288"/>
      <c r="CF11"/>
      <c r="CG11" t="s">
        <v>213</v>
      </c>
      <c r="CH11"/>
      <c r="CI11" t="s">
        <v>197</v>
      </c>
      <c r="CJ11">
        <f>Jelen!AS21</f>
        <v>0</v>
      </c>
      <c r="CK11"/>
      <c r="CL11"/>
      <c r="CM11"/>
      <c r="CN11"/>
      <c r="CO11"/>
    </row>
    <row r="12" spans="1:93" s="13" customFormat="1" ht="24.75" customHeight="1" x14ac:dyDescent="0.25">
      <c r="A12" s="432"/>
      <c r="B12" s="433" t="s">
        <v>21</v>
      </c>
      <c r="C12" s="433"/>
      <c r="D12" s="734"/>
      <c r="E12" s="734"/>
      <c r="F12" s="740" t="s">
        <v>22</v>
      </c>
      <c r="G12" s="318">
        <v>4</v>
      </c>
      <c r="H12" s="435" t="s">
        <v>23</v>
      </c>
      <c r="I12" s="435"/>
      <c r="J12" s="436"/>
      <c r="K12" s="319"/>
      <c r="L12" s="442"/>
      <c r="M12" s="444"/>
      <c r="N12" s="452"/>
      <c r="O12" s="448"/>
      <c r="P12" s="310"/>
      <c r="Q12" s="247" t="s">
        <v>198</v>
      </c>
      <c r="R12" s="248"/>
      <c r="S12" s="248"/>
      <c r="U12" s="445"/>
      <c r="V12" s="445"/>
      <c r="W12" s="445"/>
      <c r="X12" s="446"/>
      <c r="Y12" s="182"/>
      <c r="Z12" s="133"/>
      <c r="AA12" s="133"/>
      <c r="AB12" s="133"/>
      <c r="AF12" s="13">
        <v>34</v>
      </c>
      <c r="AH12" s="133" t="str">
        <f t="shared" si="0"/>
        <v/>
      </c>
      <c r="AI12" s="133" t="str">
        <f t="shared" si="1"/>
        <v/>
      </c>
      <c r="AJ12" s="133" t="str">
        <f t="shared" si="2"/>
        <v/>
      </c>
      <c r="AK12" s="133">
        <f t="shared" si="6"/>
        <v>0</v>
      </c>
      <c r="AL12" s="133" t="str">
        <f t="shared" si="7"/>
        <v/>
      </c>
      <c r="AM12" s="133" t="str">
        <f t="shared" si="3"/>
        <v/>
      </c>
      <c r="AN12" s="133" t="str">
        <f t="shared" si="4"/>
        <v/>
      </c>
      <c r="AO12" s="133" t="str">
        <f t="shared" si="5"/>
        <v/>
      </c>
      <c r="AP12" s="133">
        <f t="shared" si="8"/>
        <v>0</v>
      </c>
      <c r="AQ12" s="133" t="str">
        <f t="shared" si="9"/>
        <v/>
      </c>
      <c r="AU12" s="180"/>
      <c r="AV12" s="180"/>
      <c r="AW12" s="184"/>
      <c r="AX12" s="184"/>
      <c r="AY12" s="184"/>
      <c r="AZ12" s="184"/>
      <c r="BA12" s="184"/>
      <c r="BB12" s="184"/>
      <c r="BC12" s="184"/>
      <c r="BD12" s="184"/>
      <c r="BM12" t="str">
        <f t="shared" si="10"/>
        <v/>
      </c>
      <c r="BN12" s="180">
        <v>0</v>
      </c>
      <c r="BO12" s="180">
        <v>2</v>
      </c>
      <c r="BP12" s="184">
        <v>2</v>
      </c>
      <c r="BQ12" s="184">
        <v>2</v>
      </c>
      <c r="BR12" s="184">
        <v>2.5</v>
      </c>
      <c r="BS12" s="184">
        <v>4.5</v>
      </c>
      <c r="BT12" s="184">
        <v>5.5</v>
      </c>
      <c r="BU12" s="184">
        <v>6</v>
      </c>
      <c r="BV12" s="181">
        <v>6.5</v>
      </c>
      <c r="BW12" s="181">
        <v>7</v>
      </c>
      <c r="BX12" s="181"/>
      <c r="BY12" s="181"/>
      <c r="BZ12" s="181"/>
      <c r="CA12" s="181"/>
      <c r="CB12" s="181"/>
      <c r="CC12" s="181"/>
      <c r="CD12" s="181"/>
      <c r="CE12" s="288"/>
      <c r="CF12"/>
      <c r="CG12"/>
      <c r="CH12"/>
      <c r="CI12" t="s">
        <v>209</v>
      </c>
      <c r="CJ12">
        <f>SUM(CJ9:CJ11)</f>
        <v>0</v>
      </c>
      <c r="CK12"/>
      <c r="CL12"/>
      <c r="CM12"/>
      <c r="CN12"/>
      <c r="CO12"/>
    </row>
    <row r="13" spans="1:93" s="13" customFormat="1" ht="24.75" customHeight="1" x14ac:dyDescent="0.25">
      <c r="A13" s="432"/>
      <c r="B13" s="433"/>
      <c r="C13" s="433"/>
      <c r="D13" s="734"/>
      <c r="E13" s="734"/>
      <c r="F13" s="740"/>
      <c r="G13" s="318">
        <v>5</v>
      </c>
      <c r="H13" s="435" t="s">
        <v>132</v>
      </c>
      <c r="I13" s="435"/>
      <c r="J13" s="436"/>
      <c r="K13" s="319"/>
      <c r="L13" s="441" t="s">
        <v>16</v>
      </c>
      <c r="M13" s="443">
        <f>U13</f>
        <v>0</v>
      </c>
      <c r="N13" s="451">
        <v>0.25</v>
      </c>
      <c r="O13" s="448">
        <f>TRUNC(X13,2)</f>
        <v>0</v>
      </c>
      <c r="P13" s="310"/>
      <c r="Q13" s="247" t="s">
        <v>199</v>
      </c>
      <c r="R13" s="249"/>
      <c r="S13" s="249"/>
      <c r="U13" s="445">
        <f>TRUNC(V13,2)</f>
        <v>0</v>
      </c>
      <c r="V13" s="445">
        <f>(K13+K14)/2</f>
        <v>0</v>
      </c>
      <c r="W13" s="445">
        <v>0.25</v>
      </c>
      <c r="X13" s="446">
        <f>U13*N13</f>
        <v>0</v>
      </c>
      <c r="Y13" s="182"/>
      <c r="Z13" s="133"/>
      <c r="AA13" s="133"/>
      <c r="AB13" s="133"/>
      <c r="AF13" s="13">
        <v>51</v>
      </c>
      <c r="AH13" s="133" t="str">
        <f t="shared" si="0"/>
        <v/>
      </c>
      <c r="AI13" s="133" t="str">
        <f t="shared" si="1"/>
        <v/>
      </c>
      <c r="AJ13" s="133" t="str">
        <f t="shared" si="2"/>
        <v/>
      </c>
      <c r="AK13" s="133">
        <f t="shared" si="6"/>
        <v>0</v>
      </c>
      <c r="AL13" s="133" t="str">
        <f t="shared" si="7"/>
        <v/>
      </c>
      <c r="AM13" s="133" t="str">
        <f t="shared" si="3"/>
        <v/>
      </c>
      <c r="AN13" s="133" t="str">
        <f t="shared" si="4"/>
        <v/>
      </c>
      <c r="AO13" s="133" t="str">
        <f t="shared" si="5"/>
        <v/>
      </c>
      <c r="AP13" s="133">
        <f t="shared" si="8"/>
        <v>0</v>
      </c>
      <c r="AQ13" s="133" t="str">
        <f t="shared" si="9"/>
        <v/>
      </c>
      <c r="AU13" s="180"/>
      <c r="AV13" s="180"/>
      <c r="AW13" s="184"/>
      <c r="AX13" s="184"/>
      <c r="AY13" s="184"/>
      <c r="AZ13" s="184"/>
      <c r="BA13" s="184"/>
      <c r="BB13" s="184"/>
      <c r="BC13" s="184"/>
      <c r="BD13" s="184"/>
      <c r="BM13" t="str">
        <f t="shared" si="10"/>
        <v/>
      </c>
      <c r="BN13" s="180">
        <v>0</v>
      </c>
      <c r="BO13" s="180">
        <v>3</v>
      </c>
      <c r="BP13" s="184">
        <v>2</v>
      </c>
      <c r="BQ13" s="184">
        <v>2.5</v>
      </c>
      <c r="BR13" s="184">
        <v>3</v>
      </c>
      <c r="BS13" s="184">
        <v>4.5</v>
      </c>
      <c r="BT13" s="184">
        <v>5.5</v>
      </c>
      <c r="BU13" s="184">
        <v>6.5</v>
      </c>
      <c r="BV13" s="184">
        <v>7</v>
      </c>
      <c r="BW13" s="181">
        <v>7</v>
      </c>
      <c r="BX13" s="181"/>
      <c r="BY13" s="181"/>
      <c r="BZ13" s="181"/>
      <c r="CA13" s="181"/>
      <c r="CB13" s="181"/>
      <c r="CC13" s="181"/>
      <c r="CD13" s="181"/>
      <c r="CE13" s="288"/>
      <c r="CF13"/>
      <c r="CG13"/>
      <c r="CH13"/>
      <c r="CI13"/>
      <c r="CJ13"/>
      <c r="CK13"/>
      <c r="CL13"/>
      <c r="CM13"/>
      <c r="CN13"/>
      <c r="CO13"/>
    </row>
    <row r="14" spans="1:93" s="13" customFormat="1" ht="24.75" customHeight="1" x14ac:dyDescent="0.25">
      <c r="A14" s="432"/>
      <c r="B14" s="433"/>
      <c r="C14" s="433"/>
      <c r="D14" s="734"/>
      <c r="E14" s="734"/>
      <c r="F14" s="740"/>
      <c r="G14" s="318">
        <v>6</v>
      </c>
      <c r="H14" s="435" t="s">
        <v>133</v>
      </c>
      <c r="I14" s="435"/>
      <c r="J14" s="436"/>
      <c r="K14" s="319"/>
      <c r="L14" s="442"/>
      <c r="M14" s="444"/>
      <c r="N14" s="452"/>
      <c r="O14" s="448"/>
      <c r="P14" s="310"/>
      <c r="Q14" s="247" t="s">
        <v>200</v>
      </c>
      <c r="R14" s="250"/>
      <c r="S14" s="250"/>
      <c r="U14" s="445"/>
      <c r="V14" s="445"/>
      <c r="W14" s="445"/>
      <c r="X14" s="446"/>
      <c r="Y14" s="182"/>
      <c r="Z14" s="133"/>
      <c r="AA14" s="133"/>
      <c r="AB14" s="133"/>
      <c r="AF14" s="13">
        <v>20</v>
      </c>
      <c r="AH14" s="133" t="str">
        <f t="shared" si="0"/>
        <v/>
      </c>
      <c r="AI14" s="133" t="str">
        <f t="shared" si="1"/>
        <v/>
      </c>
      <c r="AJ14" s="133" t="str">
        <f t="shared" si="2"/>
        <v/>
      </c>
      <c r="AK14" s="133">
        <f t="shared" si="6"/>
        <v>0</v>
      </c>
      <c r="AL14" s="133" t="str">
        <f t="shared" si="7"/>
        <v/>
      </c>
      <c r="AM14" s="133" t="str">
        <f t="shared" si="3"/>
        <v/>
      </c>
      <c r="AN14" s="133" t="str">
        <f t="shared" si="4"/>
        <v/>
      </c>
      <c r="AO14" s="133" t="str">
        <f t="shared" si="5"/>
        <v/>
      </c>
      <c r="AP14" s="133">
        <f t="shared" si="8"/>
        <v>0</v>
      </c>
      <c r="AQ14" s="133" t="str">
        <f t="shared" si="9"/>
        <v/>
      </c>
      <c r="AU14" s="180"/>
      <c r="AV14" s="180"/>
      <c r="AW14" s="184"/>
      <c r="AX14" s="184"/>
      <c r="AY14" s="184"/>
      <c r="AZ14" s="184"/>
      <c r="BA14" s="184"/>
      <c r="BB14" s="184"/>
      <c r="BC14" s="184"/>
      <c r="BD14" s="184"/>
      <c r="BM14" t="str">
        <f t="shared" si="10"/>
        <v/>
      </c>
      <c r="BN14" s="180">
        <v>0</v>
      </c>
      <c r="BO14" s="180">
        <v>4</v>
      </c>
      <c r="BP14" s="184">
        <v>2.5</v>
      </c>
      <c r="BQ14" s="184">
        <v>3</v>
      </c>
      <c r="BR14" s="184">
        <v>3</v>
      </c>
      <c r="BS14" s="184">
        <v>4.5</v>
      </c>
      <c r="BT14" s="184">
        <v>5.5</v>
      </c>
      <c r="BU14" s="184">
        <v>6.5</v>
      </c>
      <c r="BV14" s="184">
        <v>7</v>
      </c>
      <c r="BW14" s="184">
        <v>7.5</v>
      </c>
      <c r="BX14" s="184"/>
      <c r="BY14" s="184"/>
      <c r="BZ14" s="184"/>
      <c r="CA14" s="184"/>
      <c r="CB14" s="184"/>
      <c r="CC14" s="184"/>
      <c r="CD14" s="184"/>
      <c r="CE14" s="289"/>
      <c r="CF14"/>
      <c r="CG14"/>
      <c r="CH14"/>
      <c r="CI14"/>
      <c r="CJ14"/>
      <c r="CK14"/>
      <c r="CL14"/>
      <c r="CM14"/>
      <c r="CN14"/>
      <c r="CO14"/>
    </row>
    <row r="15" spans="1:93" s="13" customFormat="1" ht="24.75" customHeight="1" x14ac:dyDescent="0.25">
      <c r="A15" s="432"/>
      <c r="B15" s="433" t="s">
        <v>26</v>
      </c>
      <c r="C15" s="434" t="s">
        <v>27</v>
      </c>
      <c r="D15" s="734"/>
      <c r="E15" s="734"/>
      <c r="F15" s="740" t="s">
        <v>28</v>
      </c>
      <c r="G15" s="318">
        <v>11</v>
      </c>
      <c r="H15" s="435" t="s">
        <v>32</v>
      </c>
      <c r="I15" s="435"/>
      <c r="J15" s="436"/>
      <c r="K15" s="319"/>
      <c r="L15" s="441" t="s">
        <v>33</v>
      </c>
      <c r="M15" s="443">
        <f>U15</f>
        <v>0</v>
      </c>
      <c r="N15" s="454">
        <v>1</v>
      </c>
      <c r="O15" s="448">
        <f>TRUNC(X15,2)</f>
        <v>0</v>
      </c>
      <c r="P15" s="310"/>
      <c r="Q15" s="247" t="s">
        <v>201</v>
      </c>
      <c r="R15" s="250"/>
      <c r="S15" s="250"/>
      <c r="U15" s="445">
        <f>TRUNC(V15,2)</f>
        <v>0</v>
      </c>
      <c r="V15" s="445">
        <f>(K15+K16)/2</f>
        <v>0</v>
      </c>
      <c r="W15" s="453">
        <v>1</v>
      </c>
      <c r="X15" s="446">
        <f>U15*N15</f>
        <v>0</v>
      </c>
      <c r="Y15" s="182"/>
      <c r="Z15" s="133">
        <v>3</v>
      </c>
      <c r="AA15" s="133">
        <v>2</v>
      </c>
      <c r="AB15" s="133">
        <v>1</v>
      </c>
      <c r="AH15" s="133" t="str">
        <f t="shared" si="0"/>
        <v/>
      </c>
      <c r="AI15" s="133" t="str">
        <f t="shared" si="1"/>
        <v/>
      </c>
      <c r="AJ15" s="133" t="str">
        <f t="shared" si="2"/>
        <v/>
      </c>
      <c r="AK15" s="133">
        <f t="shared" si="6"/>
        <v>0</v>
      </c>
      <c r="AL15" s="133" t="str">
        <f t="shared" si="7"/>
        <v/>
      </c>
      <c r="AM15" s="133" t="str">
        <f t="shared" si="3"/>
        <v/>
      </c>
      <c r="AN15" s="133" t="str">
        <f t="shared" si="4"/>
        <v/>
      </c>
      <c r="AO15" s="133" t="str">
        <f t="shared" si="5"/>
        <v/>
      </c>
      <c r="AP15" s="133">
        <f t="shared" si="8"/>
        <v>0</v>
      </c>
      <c r="AQ15" s="133" t="str">
        <f t="shared" si="9"/>
        <v/>
      </c>
      <c r="AU15" s="180"/>
      <c r="AV15" s="180"/>
      <c r="AW15" s="184"/>
      <c r="AX15" s="184"/>
      <c r="AY15" s="184"/>
      <c r="AZ15" s="184"/>
      <c r="BA15" s="184"/>
      <c r="BB15" s="184"/>
      <c r="BC15" s="184"/>
      <c r="BD15" s="184"/>
      <c r="BM15" t="str">
        <f t="shared" si="10"/>
        <v/>
      </c>
      <c r="BN15" s="180">
        <v>0</v>
      </c>
      <c r="BO15" s="180">
        <v>5</v>
      </c>
      <c r="BP15" s="184">
        <v>3</v>
      </c>
      <c r="BQ15" s="184">
        <v>3</v>
      </c>
      <c r="BR15" s="184">
        <v>3.5</v>
      </c>
      <c r="BS15" s="184">
        <v>4.5</v>
      </c>
      <c r="BT15" s="184">
        <v>5.5</v>
      </c>
      <c r="BU15" s="184">
        <v>6.5</v>
      </c>
      <c r="BV15" s="184">
        <v>7</v>
      </c>
      <c r="BW15" s="184">
        <v>7.5</v>
      </c>
      <c r="BX15" s="184"/>
      <c r="BY15" s="184"/>
      <c r="BZ15" s="184"/>
      <c r="CA15" s="184"/>
      <c r="CB15" s="184"/>
      <c r="CC15" s="184"/>
      <c r="CD15" s="184"/>
      <c r="CE15" s="289"/>
      <c r="CF15"/>
      <c r="CG15" s="253" t="e">
        <f>VLOOKUP("OK",BM9:CE172,CJ12-1,0)</f>
        <v>#VALUE!</v>
      </c>
      <c r="CH15"/>
      <c r="CI15" s="177"/>
      <c r="CJ15" s="177"/>
      <c r="CK15" s="177"/>
      <c r="CL15" s="177"/>
      <c r="CM15" s="177"/>
      <c r="CN15" s="177"/>
      <c r="CO15" s="177"/>
    </row>
    <row r="16" spans="1:93" s="13" customFormat="1" ht="24.75" customHeight="1" x14ac:dyDescent="0.25">
      <c r="A16" s="432"/>
      <c r="B16" s="433"/>
      <c r="C16" s="434"/>
      <c r="D16" s="734"/>
      <c r="E16" s="734"/>
      <c r="F16" s="740"/>
      <c r="G16" s="318">
        <v>12</v>
      </c>
      <c r="H16" s="435" t="s">
        <v>34</v>
      </c>
      <c r="I16" s="435"/>
      <c r="J16" s="436"/>
      <c r="K16" s="319"/>
      <c r="L16" s="442"/>
      <c r="M16" s="444"/>
      <c r="N16" s="455"/>
      <c r="O16" s="448"/>
      <c r="P16" s="310"/>
      <c r="Q16" s="247" t="s">
        <v>202</v>
      </c>
      <c r="R16" s="250"/>
      <c r="S16" s="250"/>
      <c r="U16" s="445"/>
      <c r="V16" s="445"/>
      <c r="W16" s="453"/>
      <c r="X16" s="446"/>
      <c r="Y16" s="182"/>
      <c r="Z16" s="133"/>
      <c r="AA16" s="133"/>
      <c r="AB16" s="133"/>
      <c r="AH16" s="133" t="str">
        <f t="shared" si="0"/>
        <v/>
      </c>
      <c r="AI16" s="133" t="str">
        <f t="shared" si="1"/>
        <v/>
      </c>
      <c r="AJ16" s="133" t="str">
        <f t="shared" si="2"/>
        <v/>
      </c>
      <c r="AK16" s="133">
        <f t="shared" si="6"/>
        <v>0</v>
      </c>
      <c r="AL16" s="133" t="str">
        <f t="shared" si="7"/>
        <v/>
      </c>
      <c r="AM16" s="133" t="str">
        <f t="shared" si="3"/>
        <v/>
      </c>
      <c r="AN16" s="133" t="str">
        <f t="shared" si="4"/>
        <v/>
      </c>
      <c r="AO16" s="133" t="str">
        <f t="shared" si="5"/>
        <v/>
      </c>
      <c r="AP16" s="133">
        <f t="shared" si="8"/>
        <v>0</v>
      </c>
      <c r="AQ16" s="133" t="str">
        <f t="shared" si="9"/>
        <v/>
      </c>
      <c r="AU16" s="180"/>
      <c r="AV16" s="180"/>
      <c r="AW16" s="184"/>
      <c r="AX16" s="184"/>
      <c r="AY16" s="184"/>
      <c r="AZ16" s="184"/>
      <c r="BA16" s="184"/>
      <c r="BB16" s="184"/>
      <c r="BC16" s="184"/>
      <c r="BD16" s="184"/>
      <c r="BM16" t="str">
        <f t="shared" si="10"/>
        <v/>
      </c>
      <c r="BN16" s="180">
        <v>0</v>
      </c>
      <c r="BO16" s="180">
        <v>6</v>
      </c>
      <c r="BP16" s="184"/>
      <c r="BQ16" s="184">
        <v>3.5</v>
      </c>
      <c r="BR16" s="184">
        <v>3.5</v>
      </c>
      <c r="BS16" s="184">
        <v>5</v>
      </c>
      <c r="BT16" s="184">
        <v>5.5</v>
      </c>
      <c r="BU16" s="184">
        <v>6.5</v>
      </c>
      <c r="BV16" s="184">
        <v>7</v>
      </c>
      <c r="BW16" s="184">
        <v>7.5</v>
      </c>
      <c r="BX16" s="184"/>
      <c r="BY16" s="184"/>
      <c r="BZ16" s="184"/>
      <c r="CA16" s="184"/>
      <c r="CB16" s="184"/>
      <c r="CC16" s="184"/>
      <c r="CD16" s="184"/>
      <c r="CE16" s="289"/>
      <c r="CF16"/>
      <c r="CG16"/>
      <c r="CH16"/>
      <c r="CI16"/>
      <c r="CJ16"/>
      <c r="CK16"/>
      <c r="CL16"/>
      <c r="CM16"/>
      <c r="CN16"/>
      <c r="CO16"/>
    </row>
    <row r="17" spans="1:93" s="13" customFormat="1" ht="24.75" customHeight="1" x14ac:dyDescent="0.25">
      <c r="A17" s="432"/>
      <c r="B17" s="433"/>
      <c r="C17" s="434"/>
      <c r="D17" s="734"/>
      <c r="E17" s="734"/>
      <c r="F17" s="740"/>
      <c r="G17" s="318">
        <v>13</v>
      </c>
      <c r="H17" s="435" t="s">
        <v>35</v>
      </c>
      <c r="I17" s="435"/>
      <c r="J17" s="436"/>
      <c r="K17" s="319"/>
      <c r="L17" s="402" t="s">
        <v>36</v>
      </c>
      <c r="M17" s="443">
        <f>U17</f>
        <v>0</v>
      </c>
      <c r="N17" s="454">
        <v>1</v>
      </c>
      <c r="O17" s="448">
        <f>TRUNC(X17,2)</f>
        <v>0</v>
      </c>
      <c r="P17" s="310"/>
      <c r="Q17" s="247" t="s">
        <v>203</v>
      </c>
      <c r="R17" s="251"/>
      <c r="S17" s="251"/>
      <c r="U17" s="445">
        <f>TRUNC(V17,2)</f>
        <v>0</v>
      </c>
      <c r="V17" s="446">
        <f>(K17+K18)</f>
        <v>0</v>
      </c>
      <c r="W17" s="453">
        <v>1</v>
      </c>
      <c r="X17" s="446">
        <f>U17*N17</f>
        <v>0</v>
      </c>
      <c r="Y17" s="182"/>
      <c r="Z17" s="133"/>
      <c r="AA17" s="133"/>
      <c r="AB17" s="133"/>
      <c r="AH17" s="133" t="str">
        <f t="shared" si="0"/>
        <v/>
      </c>
      <c r="AI17" s="133" t="str">
        <f t="shared" si="1"/>
        <v/>
      </c>
      <c r="AJ17" s="133" t="str">
        <f t="shared" si="2"/>
        <v/>
      </c>
      <c r="AK17" s="133">
        <f t="shared" si="6"/>
        <v>0</v>
      </c>
      <c r="AL17" s="133" t="str">
        <f t="shared" si="7"/>
        <v/>
      </c>
      <c r="AM17" s="133" t="str">
        <f t="shared" si="3"/>
        <v/>
      </c>
      <c r="AN17" s="133" t="str">
        <f t="shared" si="4"/>
        <v/>
      </c>
      <c r="AO17" s="133" t="str">
        <f t="shared" si="5"/>
        <v/>
      </c>
      <c r="AP17" s="133">
        <f t="shared" si="8"/>
        <v>0</v>
      </c>
      <c r="AQ17" s="133" t="str">
        <f t="shared" si="9"/>
        <v/>
      </c>
      <c r="AU17" s="180"/>
      <c r="AV17" s="180"/>
      <c r="AW17" s="184"/>
      <c r="AX17" s="184"/>
      <c r="AY17" s="184"/>
      <c r="AZ17" s="184"/>
      <c r="BA17" s="184"/>
      <c r="BB17" s="184"/>
      <c r="BC17" s="184"/>
      <c r="BD17" s="184"/>
      <c r="BM17" t="str">
        <f t="shared" si="10"/>
        <v/>
      </c>
      <c r="BN17" s="180">
        <v>0</v>
      </c>
      <c r="BO17" s="180">
        <v>7</v>
      </c>
      <c r="BP17" s="184"/>
      <c r="BQ17" s="184"/>
      <c r="BR17" s="184">
        <v>4</v>
      </c>
      <c r="BS17" s="184">
        <v>5</v>
      </c>
      <c r="BT17" s="184">
        <v>6</v>
      </c>
      <c r="BU17" s="184">
        <v>6.5</v>
      </c>
      <c r="BV17" s="184">
        <v>7</v>
      </c>
      <c r="BW17" s="184">
        <v>7.5</v>
      </c>
      <c r="BX17" s="184"/>
      <c r="BY17" s="184"/>
      <c r="BZ17" s="184"/>
      <c r="CA17" s="184"/>
      <c r="CB17" s="184"/>
      <c r="CC17" s="184"/>
      <c r="CD17" s="184"/>
      <c r="CE17" s="289"/>
      <c r="CF17"/>
      <c r="CG17" s="260">
        <f>IFERROR(CG15,0)</f>
        <v>0</v>
      </c>
      <c r="CH17"/>
      <c r="CI17"/>
      <c r="CJ17"/>
      <c r="CK17"/>
      <c r="CL17"/>
      <c r="CM17"/>
      <c r="CN17"/>
      <c r="CO17"/>
    </row>
    <row r="18" spans="1:93" s="13" customFormat="1" ht="24.75" customHeight="1" x14ac:dyDescent="0.25">
      <c r="A18" s="432"/>
      <c r="B18" s="433"/>
      <c r="C18" s="434"/>
      <c r="D18" s="734"/>
      <c r="E18" s="734"/>
      <c r="F18" s="740"/>
      <c r="G18" s="318">
        <v>14</v>
      </c>
      <c r="H18" s="435" t="s">
        <v>39</v>
      </c>
      <c r="I18" s="435"/>
      <c r="J18" s="436"/>
      <c r="K18" s="319"/>
      <c r="L18" s="456"/>
      <c r="M18" s="444"/>
      <c r="N18" s="455"/>
      <c r="O18" s="448"/>
      <c r="P18" s="310"/>
      <c r="Q18" s="247" t="s">
        <v>204</v>
      </c>
      <c r="R18" s="251"/>
      <c r="S18" s="251"/>
      <c r="U18" s="445"/>
      <c r="V18" s="445"/>
      <c r="W18" s="453"/>
      <c r="X18" s="446"/>
      <c r="Y18" s="182"/>
      <c r="Z18" s="135" t="s">
        <v>146</v>
      </c>
      <c r="AA18" s="133"/>
      <c r="AB18" s="133"/>
      <c r="AC18" s="13" t="str">
        <f>(IF(AA10=3,Z18,""))</f>
        <v/>
      </c>
      <c r="AH18" s="133" t="str">
        <f t="shared" si="0"/>
        <v/>
      </c>
      <c r="AI18" s="133" t="str">
        <f t="shared" si="1"/>
        <v/>
      </c>
      <c r="AJ18" s="133" t="str">
        <f t="shared" si="2"/>
        <v/>
      </c>
      <c r="AK18" s="133">
        <f t="shared" si="6"/>
        <v>0</v>
      </c>
      <c r="AL18" s="133" t="str">
        <f t="shared" si="7"/>
        <v/>
      </c>
      <c r="AM18" s="133" t="str">
        <f t="shared" si="3"/>
        <v/>
      </c>
      <c r="AN18" s="133" t="str">
        <f t="shared" si="4"/>
        <v/>
      </c>
      <c r="AO18" s="133" t="str">
        <f t="shared" si="5"/>
        <v/>
      </c>
      <c r="AP18" s="133">
        <f t="shared" si="8"/>
        <v>0</v>
      </c>
      <c r="AQ18" s="133" t="str">
        <f t="shared" si="9"/>
        <v/>
      </c>
      <c r="AU18" s="185"/>
      <c r="AV18" s="180"/>
      <c r="BM18" t="str">
        <f t="shared" si="10"/>
        <v/>
      </c>
      <c r="BN18" s="180">
        <v>0</v>
      </c>
      <c r="BO18" s="180">
        <v>8</v>
      </c>
      <c r="BP18" s="184"/>
      <c r="BQ18" s="184"/>
      <c r="BR18" s="184"/>
      <c r="BS18" s="184">
        <v>5</v>
      </c>
      <c r="BT18" s="184">
        <v>6</v>
      </c>
      <c r="BU18" s="184">
        <v>7</v>
      </c>
      <c r="BV18" s="184">
        <v>7</v>
      </c>
      <c r="BW18" s="184">
        <v>7.5</v>
      </c>
      <c r="BX18" s="184"/>
      <c r="BY18" s="184"/>
      <c r="BZ18" s="184"/>
      <c r="CA18" s="184"/>
      <c r="CB18" s="184"/>
      <c r="CC18" s="184"/>
      <c r="CD18" s="184"/>
      <c r="CE18" s="289"/>
      <c r="CF18"/>
      <c r="CG18" s="176"/>
      <c r="CH18" s="176"/>
      <c r="CI18" s="177"/>
      <c r="CJ18" s="177"/>
      <c r="CK18" s="177"/>
      <c r="CL18" s="177"/>
      <c r="CM18" s="177"/>
      <c r="CN18" s="177"/>
      <c r="CO18" s="177"/>
    </row>
    <row r="19" spans="1:93" s="13" customFormat="1" ht="24.75" customHeight="1" x14ac:dyDescent="0.25">
      <c r="A19" s="432"/>
      <c r="B19" s="433"/>
      <c r="C19" s="434"/>
      <c r="D19" s="734"/>
      <c r="E19" s="734"/>
      <c r="F19" s="740"/>
      <c r="G19" s="318">
        <v>15</v>
      </c>
      <c r="H19" s="435" t="s">
        <v>134</v>
      </c>
      <c r="I19" s="435"/>
      <c r="J19" s="436"/>
      <c r="K19" s="319"/>
      <c r="L19" s="402" t="s">
        <v>36</v>
      </c>
      <c r="M19" s="443">
        <f>U19</f>
        <v>0</v>
      </c>
      <c r="N19" s="454">
        <v>1</v>
      </c>
      <c r="O19" s="448">
        <f>TRUNC(X19,2)</f>
        <v>0</v>
      </c>
      <c r="P19" s="310"/>
      <c r="Q19" s="247" t="s">
        <v>205</v>
      </c>
      <c r="R19" s="251"/>
      <c r="S19" s="251"/>
      <c r="U19" s="445">
        <f>TRUNC(V19,2)</f>
        <v>0</v>
      </c>
      <c r="V19" s="446">
        <f>(K19+K20)</f>
        <v>0</v>
      </c>
      <c r="W19" s="453">
        <v>1</v>
      </c>
      <c r="X19" s="446">
        <f>U19*N19</f>
        <v>0</v>
      </c>
      <c r="Y19" s="182"/>
      <c r="Z19" s="135" t="s">
        <v>147</v>
      </c>
      <c r="AA19" s="133"/>
      <c r="AB19" s="133"/>
      <c r="AC19" s="13" t="str">
        <f>(IF(AA10=2,Z19,""))</f>
        <v/>
      </c>
      <c r="AL19" s="13">
        <f t="array" ref="AL19:AL22">FREQUENCY(AL8:AL18,AH6:AJ6)</f>
        <v>0</v>
      </c>
      <c r="AQ19" s="13">
        <f t="array" ref="AQ19:AQ22">FREQUENCY(AQ8:AQ18,AM6:AO6)</f>
        <v>0</v>
      </c>
      <c r="AR19" s="1" t="s">
        <v>195</v>
      </c>
      <c r="AS19" s="13">
        <f>AL19+AQ19</f>
        <v>0</v>
      </c>
      <c r="AU19" s="185"/>
      <c r="AV19" s="180"/>
      <c r="BA19" s="205"/>
      <c r="BM19" t="str">
        <f t="shared" si="10"/>
        <v/>
      </c>
      <c r="BN19" s="180">
        <v>0</v>
      </c>
      <c r="BO19" s="180">
        <v>9</v>
      </c>
      <c r="BP19" s="184"/>
      <c r="BQ19" s="184"/>
      <c r="BR19" s="184"/>
      <c r="BS19" s="184">
        <v>5</v>
      </c>
      <c r="BT19" s="184">
        <v>6</v>
      </c>
      <c r="BU19" s="184">
        <v>7</v>
      </c>
      <c r="BV19" s="184">
        <v>7</v>
      </c>
      <c r="BW19" s="184">
        <v>7.5</v>
      </c>
      <c r="BX19" s="184"/>
      <c r="BY19" s="184"/>
      <c r="BZ19" s="184"/>
      <c r="CA19" s="184"/>
      <c r="CB19" s="184"/>
      <c r="CC19" s="184"/>
      <c r="CD19" s="184"/>
      <c r="CE19" s="289"/>
      <c r="CF19"/>
      <c r="CG19" s="254"/>
      <c r="CH19" s="255"/>
      <c r="CI19" s="256"/>
      <c r="CJ19" s="256"/>
      <c r="CK19" s="256"/>
      <c r="CL19" s="256"/>
      <c r="CM19" s="256"/>
      <c r="CN19" s="256"/>
      <c r="CO19" s="256"/>
    </row>
    <row r="20" spans="1:93" s="13" customFormat="1" ht="24.75" customHeight="1" x14ac:dyDescent="0.25">
      <c r="A20" s="432"/>
      <c r="B20" s="433" t="s">
        <v>37</v>
      </c>
      <c r="C20" s="433"/>
      <c r="D20" s="734"/>
      <c r="E20" s="734"/>
      <c r="F20" s="740" t="s">
        <v>38</v>
      </c>
      <c r="G20" s="318">
        <v>16</v>
      </c>
      <c r="H20" s="435" t="s">
        <v>135</v>
      </c>
      <c r="I20" s="435"/>
      <c r="J20" s="436"/>
      <c r="K20" s="319"/>
      <c r="L20" s="456"/>
      <c r="M20" s="444"/>
      <c r="N20" s="455"/>
      <c r="O20" s="448"/>
      <c r="P20" s="310"/>
      <c r="Q20" s="247" t="s">
        <v>206</v>
      </c>
      <c r="R20" s="251"/>
      <c r="S20" s="251"/>
      <c r="U20" s="445"/>
      <c r="V20" s="445"/>
      <c r="W20" s="453"/>
      <c r="X20" s="446"/>
      <c r="Y20" s="182"/>
      <c r="Z20" s="135" t="s">
        <v>190</v>
      </c>
      <c r="AA20" s="133"/>
      <c r="AB20" s="133"/>
      <c r="AC20" s="13" t="str">
        <f>(IF(AA10=1,Z20,""))</f>
        <v/>
      </c>
      <c r="AL20" s="13">
        <v>0</v>
      </c>
      <c r="AQ20" s="13">
        <v>0</v>
      </c>
      <c r="AR20" s="1" t="s">
        <v>196</v>
      </c>
      <c r="AS20" s="13">
        <f>AL20+AQ20</f>
        <v>0</v>
      </c>
      <c r="AU20" s="185"/>
      <c r="AV20" s="180"/>
      <c r="BM20" t="str">
        <f t="shared" si="10"/>
        <v/>
      </c>
      <c r="BN20" s="180">
        <v>0</v>
      </c>
      <c r="BO20" s="180">
        <v>10</v>
      </c>
      <c r="BP20" s="184"/>
      <c r="BQ20" s="184"/>
      <c r="BR20" s="184"/>
      <c r="BS20" s="184"/>
      <c r="BT20" s="184"/>
      <c r="BU20" s="184">
        <v>7</v>
      </c>
      <c r="BV20" s="184">
        <v>7.5</v>
      </c>
      <c r="BW20" s="184">
        <v>8</v>
      </c>
      <c r="BX20" s="184"/>
      <c r="BY20" s="184"/>
      <c r="BZ20" s="184"/>
      <c r="CA20" s="184"/>
      <c r="CB20" s="184"/>
      <c r="CC20" s="184"/>
      <c r="CD20" s="184"/>
      <c r="CE20" s="289"/>
      <c r="CF20"/>
      <c r="CG20"/>
      <c r="CH20"/>
      <c r="CI20"/>
      <c r="CJ20"/>
      <c r="CK20"/>
      <c r="CL20"/>
      <c r="CM20"/>
      <c r="CN20"/>
      <c r="CO20"/>
    </row>
    <row r="21" spans="1:93" s="13" customFormat="1" ht="24.75" customHeight="1" x14ac:dyDescent="0.25">
      <c r="A21" s="432"/>
      <c r="B21" s="433"/>
      <c r="C21" s="433"/>
      <c r="D21" s="734"/>
      <c r="E21" s="734"/>
      <c r="F21" s="740"/>
      <c r="G21" s="318">
        <v>19</v>
      </c>
      <c r="H21" s="435" t="s">
        <v>136</v>
      </c>
      <c r="I21" s="435"/>
      <c r="J21" s="436"/>
      <c r="K21" s="319"/>
      <c r="L21" s="461" t="s">
        <v>41</v>
      </c>
      <c r="M21" s="443">
        <f>U21</f>
        <v>0</v>
      </c>
      <c r="N21" s="454">
        <v>1</v>
      </c>
      <c r="O21" s="448">
        <f>TRUNC(X21,2)</f>
        <v>0</v>
      </c>
      <c r="P21" s="310"/>
      <c r="Q21" s="247" t="s">
        <v>207</v>
      </c>
      <c r="R21" s="251"/>
      <c r="S21" s="251"/>
      <c r="U21" s="446">
        <f>TRUNC(V21,2)</f>
        <v>0</v>
      </c>
      <c r="V21" s="446">
        <f>(K21+K22)</f>
        <v>0</v>
      </c>
      <c r="W21" s="453">
        <v>1</v>
      </c>
      <c r="X21" s="446">
        <f>U21*N21</f>
        <v>0</v>
      </c>
      <c r="Y21" s="182"/>
      <c r="Z21" s="133"/>
      <c r="AA21" s="133"/>
      <c r="AB21" s="133"/>
      <c r="AC21" s="13" t="str">
        <f>CONCATENATE(AC20,AC19,AC18)</f>
        <v/>
      </c>
      <c r="AL21" s="13">
        <v>0</v>
      </c>
      <c r="AQ21" s="13">
        <v>0</v>
      </c>
      <c r="AR21" s="1" t="s">
        <v>197</v>
      </c>
      <c r="AS21" s="13">
        <f>AL21+AQ21</f>
        <v>0</v>
      </c>
      <c r="AU21" s="185"/>
      <c r="AV21" s="180"/>
      <c r="BM21" t="str">
        <f t="shared" si="10"/>
        <v/>
      </c>
      <c r="BN21" s="185">
        <v>1</v>
      </c>
      <c r="BO21" s="180">
        <v>0</v>
      </c>
      <c r="BP21" s="13">
        <v>1.5</v>
      </c>
      <c r="BQ21" s="13">
        <v>2</v>
      </c>
      <c r="BR21" s="13">
        <v>2.5</v>
      </c>
      <c r="BS21" s="13">
        <v>4.5</v>
      </c>
      <c r="BT21" s="13">
        <v>5</v>
      </c>
      <c r="BU21" s="13">
        <v>6.5</v>
      </c>
      <c r="BV21" s="13">
        <v>7</v>
      </c>
      <c r="BW21" s="13">
        <v>7</v>
      </c>
      <c r="CE21" s="142"/>
      <c r="CF21"/>
      <c r="CG21"/>
      <c r="CH21"/>
      <c r="CI21"/>
      <c r="CJ21"/>
      <c r="CK21"/>
      <c r="CL21"/>
      <c r="CM21"/>
      <c r="CN21"/>
      <c r="CO21"/>
    </row>
    <row r="22" spans="1:93" s="13" customFormat="1" ht="24.75" customHeight="1" thickBot="1" x14ac:dyDescent="0.3">
      <c r="A22" s="457"/>
      <c r="B22" s="433" t="s">
        <v>42</v>
      </c>
      <c r="C22" s="434" t="s">
        <v>43</v>
      </c>
      <c r="D22" s="734"/>
      <c r="E22" s="734"/>
      <c r="F22" s="740" t="s">
        <v>44</v>
      </c>
      <c r="G22" s="318">
        <v>20</v>
      </c>
      <c r="H22" s="435" t="s">
        <v>137</v>
      </c>
      <c r="I22" s="435"/>
      <c r="J22" s="436"/>
      <c r="K22" s="22"/>
      <c r="L22" s="462"/>
      <c r="M22" s="444"/>
      <c r="N22" s="455"/>
      <c r="O22" s="448"/>
      <c r="P22" s="310"/>
      <c r="Q22" s="247" t="s">
        <v>208</v>
      </c>
      <c r="R22" s="251"/>
      <c r="S22" s="251"/>
      <c r="U22" s="445"/>
      <c r="V22" s="445"/>
      <c r="W22" s="453"/>
      <c r="X22" s="446"/>
      <c r="Y22" s="182"/>
      <c r="Z22" s="133"/>
      <c r="AA22" s="133"/>
      <c r="AB22" s="133"/>
      <c r="AL22" s="13">
        <v>0</v>
      </c>
      <c r="AQ22" s="13">
        <v>0</v>
      </c>
      <c r="AR22" s="13" t="s">
        <v>209</v>
      </c>
      <c r="AS22" s="13">
        <f>SUM(AS19:AS21)</f>
        <v>0</v>
      </c>
      <c r="AU22" s="185"/>
      <c r="AV22" s="180"/>
      <c r="BM22" t="str">
        <f t="shared" si="10"/>
        <v/>
      </c>
      <c r="BN22" s="185">
        <v>1</v>
      </c>
      <c r="BO22" s="180">
        <v>1</v>
      </c>
      <c r="BP22" s="13">
        <v>2</v>
      </c>
      <c r="BQ22" s="13">
        <v>2.5</v>
      </c>
      <c r="BR22" s="13">
        <v>2.5</v>
      </c>
      <c r="BS22" s="13">
        <v>4.5</v>
      </c>
      <c r="BT22" s="13">
        <v>5.5</v>
      </c>
      <c r="BU22" s="13">
        <v>6.5</v>
      </c>
      <c r="BV22" s="13">
        <v>7</v>
      </c>
      <c r="BW22" s="13">
        <v>7.5</v>
      </c>
      <c r="CE22" s="142"/>
      <c r="CF22"/>
      <c r="CG22"/>
      <c r="CH22"/>
      <c r="CI22"/>
      <c r="CJ22"/>
      <c r="CK22"/>
      <c r="CL22"/>
      <c r="CM22"/>
      <c r="CN22"/>
      <c r="CO22"/>
    </row>
    <row r="23" spans="1:93" s="13" customFormat="1" ht="12" customHeight="1" x14ac:dyDescent="0.2">
      <c r="A23" s="457"/>
      <c r="B23" s="433"/>
      <c r="C23" s="434"/>
      <c r="D23" s="734"/>
      <c r="E23" s="734"/>
      <c r="F23" s="740"/>
      <c r="G23" s="461">
        <v>21</v>
      </c>
      <c r="H23" s="474" t="s">
        <v>46</v>
      </c>
      <c r="I23" s="475"/>
      <c r="J23" s="475"/>
      <c r="K23" s="24"/>
      <c r="L23" s="472" t="s">
        <v>47</v>
      </c>
      <c r="M23" s="443">
        <f>U23</f>
        <v>-0.7</v>
      </c>
      <c r="N23" s="454">
        <v>2</v>
      </c>
      <c r="O23" s="448">
        <f>TRUNC(V25,2)</f>
        <v>0</v>
      </c>
      <c r="P23" s="310"/>
      <c r="U23" s="446">
        <f>TRUNC(V23,2)</f>
        <v>-0.7</v>
      </c>
      <c r="V23" s="446">
        <f>(K23-K24)</f>
        <v>-0.7</v>
      </c>
      <c r="W23" s="459" t="str">
        <f>IF(V23&gt;0,U23,"0")</f>
        <v>0</v>
      </c>
      <c r="X23" s="446">
        <f>U23*N23</f>
        <v>-1.4</v>
      </c>
      <c r="Y23" s="182"/>
      <c r="Z23" s="133"/>
      <c r="AA23" s="133"/>
      <c r="AB23" s="133"/>
      <c r="AU23" s="185"/>
      <c r="AV23" s="180"/>
      <c r="BM23" t="str">
        <f t="shared" si="10"/>
        <v/>
      </c>
      <c r="BN23" s="185">
        <v>1</v>
      </c>
      <c r="BO23" s="180">
        <v>2</v>
      </c>
      <c r="BP23" s="13">
        <v>2.5</v>
      </c>
      <c r="BQ23" s="13">
        <v>2.5</v>
      </c>
      <c r="BR23" s="13">
        <v>3</v>
      </c>
      <c r="BS23" s="13">
        <v>4.5</v>
      </c>
      <c r="BT23" s="13">
        <v>5.5</v>
      </c>
      <c r="BU23" s="13">
        <v>6.5</v>
      </c>
      <c r="BV23" s="13">
        <v>7</v>
      </c>
      <c r="BW23" s="13">
        <v>7.5</v>
      </c>
      <c r="CE23" s="142"/>
      <c r="CF23"/>
      <c r="CG23"/>
      <c r="CH23"/>
      <c r="CI23"/>
      <c r="CJ23"/>
      <c r="CK23"/>
      <c r="CL23"/>
      <c r="CM23"/>
      <c r="CN23"/>
      <c r="CO23"/>
    </row>
    <row r="24" spans="1:93" s="13" customFormat="1" ht="12" customHeight="1" x14ac:dyDescent="0.2">
      <c r="A24" s="457"/>
      <c r="B24" s="433"/>
      <c r="C24" s="434"/>
      <c r="D24" s="734"/>
      <c r="E24" s="734"/>
      <c r="F24" s="740"/>
      <c r="G24" s="462"/>
      <c r="H24" s="476"/>
      <c r="I24" s="477"/>
      <c r="J24" s="477"/>
      <c r="K24" s="25">
        <v>0.7</v>
      </c>
      <c r="L24" s="473"/>
      <c r="M24" s="444"/>
      <c r="N24" s="455"/>
      <c r="O24" s="460"/>
      <c r="P24" s="310"/>
      <c r="U24" s="445"/>
      <c r="V24" s="445"/>
      <c r="W24" s="459"/>
      <c r="X24" s="446"/>
      <c r="Y24" s="182"/>
      <c r="Z24" s="133"/>
      <c r="AA24" s="133"/>
      <c r="AB24" s="133"/>
      <c r="AU24" s="185"/>
      <c r="AV24" s="180"/>
      <c r="BM24" t="str">
        <f t="shared" si="10"/>
        <v/>
      </c>
      <c r="BN24" s="185">
        <v>1</v>
      </c>
      <c r="BO24" s="180">
        <v>3</v>
      </c>
      <c r="BP24" s="13">
        <v>3</v>
      </c>
      <c r="BQ24" s="13">
        <v>3</v>
      </c>
      <c r="BR24" s="13">
        <v>3.5</v>
      </c>
      <c r="BS24" s="13">
        <v>4.5</v>
      </c>
      <c r="BT24" s="13">
        <v>5.5</v>
      </c>
      <c r="BU24" s="13">
        <v>6.5</v>
      </c>
      <c r="BV24" s="13">
        <v>7</v>
      </c>
      <c r="BW24" s="13">
        <v>7.5</v>
      </c>
      <c r="CE24" s="142"/>
      <c r="CF24"/>
      <c r="CG24"/>
      <c r="CH24"/>
      <c r="CI24"/>
      <c r="CJ24"/>
      <c r="CK24"/>
      <c r="CL24"/>
      <c r="CM24"/>
      <c r="CN24"/>
      <c r="CO24"/>
    </row>
    <row r="25" spans="1:93" s="13" customFormat="1" ht="24.75" customHeight="1" x14ac:dyDescent="0.2">
      <c r="A25" s="457"/>
      <c r="B25" s="433"/>
      <c r="C25" s="434"/>
      <c r="D25" s="734"/>
      <c r="E25" s="734"/>
      <c r="F25" s="740"/>
      <c r="G25" s="318">
        <v>23</v>
      </c>
      <c r="H25" s="484" t="s">
        <v>48</v>
      </c>
      <c r="I25" s="324" t="s">
        <v>138</v>
      </c>
      <c r="J25" s="115"/>
      <c r="K25" s="327">
        <f>AD26</f>
        <v>0</v>
      </c>
      <c r="L25" s="26" t="s">
        <v>111</v>
      </c>
      <c r="M25" s="186">
        <f>TRUNC(Y26,1)</f>
        <v>0</v>
      </c>
      <c r="N25" s="28">
        <v>1</v>
      </c>
      <c r="O25" s="215">
        <f>N25*K25</f>
        <v>0</v>
      </c>
      <c r="P25" s="205"/>
      <c r="Q25" s="13" t="str">
        <f>CI9</f>
        <v>Dlouhá</v>
      </c>
      <c r="R25" s="13">
        <f>CJ9</f>
        <v>0</v>
      </c>
      <c r="U25" s="85"/>
      <c r="V25" s="85" t="str">
        <f>IF(V23&gt;0,X23,"0")</f>
        <v>0</v>
      </c>
      <c r="W25" s="90">
        <v>1</v>
      </c>
      <c r="X25" s="205"/>
      <c r="Y25" s="182" t="e">
        <f>J25/M9%</f>
        <v>#DIV/0!</v>
      </c>
      <c r="Z25" s="133" t="str">
        <f>IF(M25&gt;59.9,Z27,"")</f>
        <v/>
      </c>
      <c r="AA25" s="133" t="str">
        <f>IF(M25&gt;69.9,AA27,"")</f>
        <v/>
      </c>
      <c r="AB25" s="133" t="str">
        <f>IF(M25&gt;79.9,AB27,"")</f>
        <v/>
      </c>
      <c r="AC25" s="133"/>
      <c r="AU25" s="185"/>
      <c r="AV25" s="180"/>
      <c r="BM25" t="str">
        <f t="shared" si="10"/>
        <v/>
      </c>
      <c r="BN25" s="185">
        <v>1</v>
      </c>
      <c r="BO25" s="180">
        <v>4</v>
      </c>
      <c r="BP25" s="13">
        <v>3</v>
      </c>
      <c r="BQ25" s="13">
        <v>3.5</v>
      </c>
      <c r="BR25" s="13">
        <v>3.5</v>
      </c>
      <c r="BS25" s="13">
        <v>5</v>
      </c>
      <c r="BT25" s="13">
        <v>5.5</v>
      </c>
      <c r="BU25" s="13">
        <v>6.5</v>
      </c>
      <c r="BV25" s="13">
        <v>7</v>
      </c>
      <c r="BW25" s="13">
        <v>7.5</v>
      </c>
      <c r="CE25" s="142"/>
      <c r="CF25"/>
      <c r="CG25"/>
      <c r="CH25"/>
      <c r="CI25"/>
      <c r="CJ25"/>
      <c r="CK25"/>
      <c r="CL25"/>
      <c r="CM25"/>
      <c r="CN25"/>
      <c r="CO25"/>
    </row>
    <row r="26" spans="1:93" s="13" customFormat="1" ht="24.75" customHeight="1" x14ac:dyDescent="0.2">
      <c r="A26" s="457" t="s">
        <v>210</v>
      </c>
      <c r="B26" s="433" t="s">
        <v>51</v>
      </c>
      <c r="C26" s="434"/>
      <c r="D26" s="734"/>
      <c r="E26" s="734"/>
      <c r="F26" s="740"/>
      <c r="G26" s="318">
        <v>24</v>
      </c>
      <c r="H26" s="484"/>
      <c r="I26" s="436" t="s">
        <v>49</v>
      </c>
      <c r="J26" s="458"/>
      <c r="K26" s="319"/>
      <c r="L26" s="26" t="s">
        <v>50</v>
      </c>
      <c r="M26" s="27"/>
      <c r="N26" s="28">
        <v>1</v>
      </c>
      <c r="O26" s="215">
        <f t="shared" ref="O26:O31" si="11">N26*K26</f>
        <v>0</v>
      </c>
      <c r="P26" s="205"/>
      <c r="Q26" s="13" t="str">
        <f t="shared" ref="Q26:R26" si="12">CI10</f>
        <v>Střední</v>
      </c>
      <c r="R26" s="13">
        <f t="shared" si="12"/>
        <v>0</v>
      </c>
      <c r="U26" s="85"/>
      <c r="V26" s="85"/>
      <c r="W26" s="90">
        <v>1</v>
      </c>
      <c r="X26" s="205"/>
      <c r="Y26" s="182">
        <f>IFERROR(Y25,0)</f>
        <v>0</v>
      </c>
      <c r="Z26" s="133"/>
      <c r="AA26" s="134">
        <f>MAX(Z25,AA25,AB25)</f>
        <v>0</v>
      </c>
      <c r="AB26" s="133"/>
      <c r="AD26" s="267">
        <f>IFERROR(AA26,0)</f>
        <v>0</v>
      </c>
      <c r="AU26" s="185"/>
      <c r="AV26" s="180"/>
      <c r="BM26" t="str">
        <f t="shared" si="10"/>
        <v/>
      </c>
      <c r="BN26" s="185">
        <v>1</v>
      </c>
      <c r="BO26" s="180">
        <v>5</v>
      </c>
      <c r="BQ26" s="13">
        <v>3.5</v>
      </c>
      <c r="BR26" s="13">
        <v>4</v>
      </c>
      <c r="BS26" s="13">
        <v>5</v>
      </c>
      <c r="BT26" s="13">
        <v>5.5</v>
      </c>
      <c r="BU26" s="13">
        <v>7</v>
      </c>
      <c r="BV26" s="13">
        <v>7</v>
      </c>
      <c r="BW26" s="13">
        <v>7.5</v>
      </c>
      <c r="CE26" s="142"/>
      <c r="CF26"/>
      <c r="CG26"/>
      <c r="CH26"/>
      <c r="CI26"/>
      <c r="CJ26"/>
      <c r="CK26"/>
      <c r="CL26"/>
      <c r="CM26"/>
      <c r="CN26"/>
      <c r="CO26"/>
    </row>
    <row r="27" spans="1:93" s="13" customFormat="1" ht="24.75" customHeight="1" x14ac:dyDescent="0.2">
      <c r="A27" s="457"/>
      <c r="B27" s="433"/>
      <c r="C27" s="434"/>
      <c r="D27" s="734"/>
      <c r="E27" s="734"/>
      <c r="F27" s="740"/>
      <c r="G27" s="318">
        <v>25</v>
      </c>
      <c r="H27" s="484"/>
      <c r="I27" s="436" t="s">
        <v>92</v>
      </c>
      <c r="J27" s="458"/>
      <c r="K27" s="319"/>
      <c r="L27" s="26" t="s">
        <v>50</v>
      </c>
      <c r="M27" s="27"/>
      <c r="N27" s="28">
        <v>1</v>
      </c>
      <c r="O27" s="215">
        <f t="shared" si="11"/>
        <v>0</v>
      </c>
      <c r="P27" s="205"/>
      <c r="Q27" s="13" t="str">
        <f t="shared" ref="Q27:R27" si="13">CI11</f>
        <v>Krátká</v>
      </c>
      <c r="R27" s="13">
        <f t="shared" si="13"/>
        <v>0</v>
      </c>
      <c r="U27" s="85"/>
      <c r="V27" s="85"/>
      <c r="W27" s="90">
        <v>1</v>
      </c>
      <c r="X27" s="205"/>
      <c r="Y27" s="182"/>
      <c r="Z27" s="133">
        <v>1</v>
      </c>
      <c r="AA27" s="133">
        <v>2</v>
      </c>
      <c r="AB27" s="133">
        <v>3</v>
      </c>
      <c r="AU27" s="185"/>
      <c r="AV27" s="180"/>
      <c r="BM27" t="str">
        <f t="shared" si="10"/>
        <v/>
      </c>
      <c r="BN27" s="185">
        <v>1</v>
      </c>
      <c r="BO27" s="180">
        <v>6</v>
      </c>
      <c r="BR27" s="13">
        <v>4</v>
      </c>
      <c r="BS27" s="13">
        <v>5</v>
      </c>
      <c r="BT27" s="13">
        <v>5.5</v>
      </c>
      <c r="BU27" s="13">
        <v>7</v>
      </c>
      <c r="BV27" s="13">
        <v>7.5</v>
      </c>
      <c r="BW27" s="13">
        <v>7.5</v>
      </c>
      <c r="CE27" s="142"/>
      <c r="CF27"/>
      <c r="CG27"/>
      <c r="CH27"/>
      <c r="CI27"/>
      <c r="CJ27"/>
      <c r="CK27"/>
      <c r="CL27"/>
      <c r="CM27"/>
      <c r="CN27"/>
      <c r="CO27"/>
    </row>
    <row r="28" spans="1:93" s="13" customFormat="1" ht="24.75" customHeight="1" x14ac:dyDescent="0.2">
      <c r="A28" s="252" t="s">
        <v>144</v>
      </c>
      <c r="B28" s="30" t="s">
        <v>56</v>
      </c>
      <c r="C28" s="434"/>
      <c r="D28" s="734"/>
      <c r="E28" s="734"/>
      <c r="F28" s="740"/>
      <c r="G28" s="318">
        <v>27</v>
      </c>
      <c r="H28" s="484"/>
      <c r="I28" s="436" t="s">
        <v>94</v>
      </c>
      <c r="J28" s="458"/>
      <c r="K28" s="319"/>
      <c r="L28" s="26" t="s">
        <v>50</v>
      </c>
      <c r="M28" s="27"/>
      <c r="N28" s="28">
        <v>1</v>
      </c>
      <c r="O28" s="215">
        <f t="shared" si="11"/>
        <v>0</v>
      </c>
      <c r="P28" s="205"/>
      <c r="Q28" s="13" t="str">
        <f t="shared" ref="Q28:R28" si="14">CI12</f>
        <v>celkem</v>
      </c>
      <c r="R28" s="13">
        <f t="shared" si="14"/>
        <v>0</v>
      </c>
      <c r="U28" s="85"/>
      <c r="V28" s="85"/>
      <c r="W28" s="90">
        <v>1</v>
      </c>
      <c r="X28" s="205"/>
      <c r="Y28" s="182"/>
      <c r="Z28" s="133"/>
      <c r="AA28" s="133"/>
      <c r="AB28" s="133"/>
      <c r="AU28" s="185"/>
      <c r="AV28" s="180"/>
      <c r="BM28" t="str">
        <f t="shared" si="10"/>
        <v/>
      </c>
      <c r="BN28" s="185">
        <v>1</v>
      </c>
      <c r="BO28" s="180">
        <v>7</v>
      </c>
      <c r="BS28" s="13">
        <v>5</v>
      </c>
      <c r="BT28" s="13">
        <v>6</v>
      </c>
      <c r="BU28" s="13">
        <v>7</v>
      </c>
      <c r="BV28" s="13">
        <v>7.5</v>
      </c>
      <c r="BW28" s="13">
        <v>8</v>
      </c>
      <c r="CE28" s="142"/>
      <c r="CF28"/>
      <c r="CG28"/>
      <c r="CH28"/>
      <c r="CI28"/>
      <c r="CJ28"/>
      <c r="CK28"/>
      <c r="CL28"/>
      <c r="CM28"/>
      <c r="CN28"/>
      <c r="CO28"/>
    </row>
    <row r="29" spans="1:93" s="13" customFormat="1" ht="12.75" customHeight="1" x14ac:dyDescent="0.2">
      <c r="A29" s="463"/>
      <c r="B29" s="466" t="s">
        <v>58</v>
      </c>
      <c r="C29" s="467"/>
      <c r="D29" s="734"/>
      <c r="E29" s="734"/>
      <c r="F29" s="741" t="s">
        <v>59</v>
      </c>
      <c r="G29" s="461">
        <v>28</v>
      </c>
      <c r="H29" s="484"/>
      <c r="I29" s="474" t="s">
        <v>139</v>
      </c>
      <c r="J29" s="188"/>
      <c r="K29" s="478">
        <f>AG30</f>
        <v>0</v>
      </c>
      <c r="L29" s="480" t="s">
        <v>50</v>
      </c>
      <c r="M29" s="482"/>
      <c r="N29" s="493">
        <v>1</v>
      </c>
      <c r="O29" s="495">
        <f>N29*K29</f>
        <v>0</v>
      </c>
      <c r="P29" s="205"/>
      <c r="U29" s="85"/>
      <c r="V29" s="85"/>
      <c r="W29" s="90"/>
      <c r="X29" s="205"/>
      <c r="Y29" s="182"/>
      <c r="Z29" s="150" t="str">
        <f>IF(J29&gt;1.99,Z30,"0")</f>
        <v>0</v>
      </c>
      <c r="AA29" s="150" t="str">
        <f>IF(J29&gt;10,AA30,"0")</f>
        <v>0</v>
      </c>
      <c r="AB29" s="150" t="str">
        <f>IF(J29&gt;15,AB30,"0")</f>
        <v>0</v>
      </c>
      <c r="AC29" s="142"/>
      <c r="AD29" s="13">
        <f>MAX(AA29,AB29)</f>
        <v>0</v>
      </c>
      <c r="AU29" s="185"/>
      <c r="AV29" s="180"/>
      <c r="BM29" t="str">
        <f t="shared" si="10"/>
        <v/>
      </c>
      <c r="BN29" s="185">
        <v>1</v>
      </c>
      <c r="BO29" s="180">
        <v>8</v>
      </c>
      <c r="BS29" s="13">
        <v>5</v>
      </c>
      <c r="BT29" s="13">
        <v>6</v>
      </c>
      <c r="BU29" s="13">
        <v>7</v>
      </c>
      <c r="BV29" s="13">
        <v>7.5</v>
      </c>
      <c r="BW29" s="13">
        <v>8</v>
      </c>
      <c r="CE29" s="142"/>
      <c r="CF29"/>
      <c r="CG29"/>
      <c r="CH29"/>
      <c r="CI29"/>
      <c r="CJ29"/>
      <c r="CK29"/>
      <c r="CL29"/>
      <c r="CM29"/>
      <c r="CN29"/>
      <c r="CO29"/>
    </row>
    <row r="30" spans="1:93" s="13" customFormat="1" ht="12.75" customHeight="1" x14ac:dyDescent="0.2">
      <c r="A30" s="464"/>
      <c r="B30" s="468"/>
      <c r="C30" s="469"/>
      <c r="D30" s="734"/>
      <c r="E30" s="734"/>
      <c r="F30" s="742"/>
      <c r="G30" s="462"/>
      <c r="H30" s="484"/>
      <c r="I30" s="476"/>
      <c r="J30" s="189"/>
      <c r="K30" s="479"/>
      <c r="L30" s="481"/>
      <c r="M30" s="483"/>
      <c r="N30" s="494"/>
      <c r="O30" s="496"/>
      <c r="P30" s="205"/>
      <c r="U30" s="85"/>
      <c r="V30" s="85"/>
      <c r="W30" s="90">
        <v>1</v>
      </c>
      <c r="X30" s="205"/>
      <c r="Y30" s="182"/>
      <c r="Z30" s="190">
        <v>0.5</v>
      </c>
      <c r="AA30" s="190">
        <v>0.5</v>
      </c>
      <c r="AB30" s="190">
        <v>1</v>
      </c>
      <c r="AC30" s="191"/>
      <c r="AD30" s="13" t="str">
        <f>IF(Z32=1,Z30,"0")</f>
        <v>0</v>
      </c>
      <c r="AE30" s="13">
        <f>IF(AB32&lt;1,AA30,"0")</f>
        <v>0.5</v>
      </c>
      <c r="AF30" s="3">
        <f>AD29+AD31+AE30+AD30</f>
        <v>0.5</v>
      </c>
      <c r="AG30" s="13">
        <f>AF30-AC32</f>
        <v>0</v>
      </c>
      <c r="AV30" s="185"/>
      <c r="AW30" s="180"/>
      <c r="BM30" t="str">
        <f t="shared" si="10"/>
        <v/>
      </c>
      <c r="BN30" s="185">
        <v>1</v>
      </c>
      <c r="BO30" s="180">
        <v>9</v>
      </c>
      <c r="BT30" s="13">
        <v>6</v>
      </c>
      <c r="BU30" s="13">
        <v>7</v>
      </c>
      <c r="BV30" s="13">
        <v>7.5</v>
      </c>
      <c r="BW30" s="13">
        <v>8</v>
      </c>
      <c r="CE30" s="142"/>
      <c r="CF30"/>
      <c r="CG30"/>
      <c r="CH30"/>
      <c r="CI30"/>
      <c r="CJ30"/>
      <c r="CK30"/>
      <c r="CL30"/>
      <c r="CM30"/>
      <c r="CN30"/>
      <c r="CO30"/>
    </row>
    <row r="31" spans="1:93" s="13" customFormat="1" ht="24.75" customHeight="1" thickBot="1" x14ac:dyDescent="0.25">
      <c r="A31" s="464"/>
      <c r="B31" s="468"/>
      <c r="C31" s="469"/>
      <c r="D31" s="734"/>
      <c r="E31" s="734"/>
      <c r="F31" s="742"/>
      <c r="G31" s="320">
        <v>29</v>
      </c>
      <c r="H31" s="484"/>
      <c r="I31" s="474" t="s">
        <v>140</v>
      </c>
      <c r="J31" s="497"/>
      <c r="K31" s="321">
        <f>CG17</f>
        <v>0</v>
      </c>
      <c r="L31" s="43" t="s">
        <v>141</v>
      </c>
      <c r="M31" s="41"/>
      <c r="N31" s="42">
        <v>1</v>
      </c>
      <c r="O31" s="215">
        <f t="shared" si="11"/>
        <v>0</v>
      </c>
      <c r="P31" s="205"/>
      <c r="U31" s="85"/>
      <c r="V31" s="85"/>
      <c r="W31" s="90">
        <v>1</v>
      </c>
      <c r="X31" s="205"/>
      <c r="Y31" s="182"/>
      <c r="Z31" s="133" t="str">
        <f>IF(J30&gt;1.99,Z30,"0")</f>
        <v>0</v>
      </c>
      <c r="AA31" s="52" t="str">
        <f>IF(J30&gt;10,AA30,"0")</f>
        <v>0</v>
      </c>
      <c r="AB31" s="52" t="str">
        <f>IF(J30&gt;15,AB30,"0")</f>
        <v>0</v>
      </c>
      <c r="AC31" s="3"/>
      <c r="AD31" s="13">
        <f>MAX(AA31,AB31)</f>
        <v>0</v>
      </c>
      <c r="AE31" s="3"/>
      <c r="AU31" s="185"/>
      <c r="AV31" s="180"/>
      <c r="BM31" t="str">
        <f t="shared" si="10"/>
        <v/>
      </c>
      <c r="BN31" s="185">
        <v>1</v>
      </c>
      <c r="BO31" s="180">
        <v>10</v>
      </c>
      <c r="BU31" s="13">
        <v>7</v>
      </c>
      <c r="BV31" s="13">
        <v>7.5</v>
      </c>
      <c r="BW31" s="13">
        <v>8</v>
      </c>
      <c r="CE31" s="142"/>
      <c r="CF31"/>
      <c r="CG31"/>
      <c r="CH31"/>
      <c r="CI31"/>
      <c r="CJ31"/>
      <c r="CK31"/>
      <c r="CL31"/>
      <c r="CM31"/>
      <c r="CN31"/>
      <c r="CO31"/>
    </row>
    <row r="32" spans="1:93" s="13" customFormat="1" ht="21" customHeight="1" thickBot="1" x14ac:dyDescent="0.25">
      <c r="A32" s="464"/>
      <c r="B32" s="468"/>
      <c r="C32" s="469"/>
      <c r="D32" s="734"/>
      <c r="E32" s="734"/>
      <c r="F32" s="742"/>
      <c r="G32" s="498" t="s">
        <v>57</v>
      </c>
      <c r="H32" s="499"/>
      <c r="I32" s="499"/>
      <c r="J32" s="31"/>
      <c r="K32" s="192"/>
      <c r="L32" s="33"/>
      <c r="M32" s="34"/>
      <c r="N32" s="35"/>
      <c r="O32" s="326">
        <f>SUM(O9:O31)</f>
        <v>0</v>
      </c>
      <c r="P32" s="193"/>
      <c r="U32" s="182"/>
      <c r="V32" s="182"/>
      <c r="W32" s="182"/>
      <c r="X32" s="193"/>
      <c r="Y32" s="182"/>
      <c r="Z32" s="52">
        <f>Z31+Z29</f>
        <v>0</v>
      </c>
      <c r="AA32" s="52"/>
      <c r="AB32" s="52">
        <f>AA31+AA29</f>
        <v>0</v>
      </c>
      <c r="AC32" s="3">
        <f>IF(AD32&lt;2.1,0.5,"0")</f>
        <v>0.5</v>
      </c>
      <c r="AD32" s="3">
        <f>Z32+AB32</f>
        <v>0</v>
      </c>
      <c r="AE32" s="3"/>
      <c r="AU32" s="185"/>
      <c r="AV32" s="180"/>
      <c r="BM32" t="str">
        <f t="shared" si="10"/>
        <v/>
      </c>
      <c r="BN32" s="185">
        <v>2</v>
      </c>
      <c r="BO32" s="180">
        <v>0</v>
      </c>
      <c r="BP32" s="13">
        <v>2</v>
      </c>
      <c r="BQ32" s="13">
        <v>2.5</v>
      </c>
      <c r="BR32" s="13">
        <v>3</v>
      </c>
      <c r="BS32" s="13">
        <v>4.5</v>
      </c>
      <c r="BT32" s="13">
        <v>5.5</v>
      </c>
      <c r="BU32" s="13">
        <v>6.5</v>
      </c>
      <c r="BV32" s="13">
        <v>7</v>
      </c>
      <c r="BW32" s="13">
        <v>7.5</v>
      </c>
      <c r="CE32" s="142"/>
      <c r="CF32"/>
      <c r="CG32"/>
      <c r="CH32"/>
      <c r="CI32"/>
      <c r="CJ32"/>
      <c r="CK32"/>
      <c r="CL32"/>
      <c r="CM32"/>
      <c r="CN32"/>
      <c r="CO32"/>
    </row>
    <row r="33" spans="1:83" ht="6.75" customHeight="1" x14ac:dyDescent="0.2">
      <c r="A33" s="464"/>
      <c r="B33" s="468"/>
      <c r="C33" s="469"/>
      <c r="D33" s="734"/>
      <c r="E33" s="734"/>
      <c r="F33" s="742"/>
      <c r="G33" s="500">
        <v>36</v>
      </c>
      <c r="H33" s="501" t="s">
        <v>142</v>
      </c>
      <c r="I33" s="502"/>
      <c r="J33" s="507"/>
      <c r="K33" s="508"/>
      <c r="L33" s="513" t="s">
        <v>111</v>
      </c>
      <c r="M33" s="514"/>
      <c r="N33" s="517">
        <v>1</v>
      </c>
      <c r="O33" s="485">
        <f>N33*J33</f>
        <v>0</v>
      </c>
      <c r="P33" s="314"/>
      <c r="U33" s="422"/>
      <c r="V33" s="422"/>
      <c r="W33" s="488">
        <v>1</v>
      </c>
      <c r="X33" s="489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U33" s="185"/>
      <c r="AV33" s="180"/>
      <c r="AZ33" s="13"/>
      <c r="BA33" s="13"/>
      <c r="BB33" s="13"/>
      <c r="BC33" s="13"/>
      <c r="BM33" t="str">
        <f t="shared" si="10"/>
        <v/>
      </c>
      <c r="BN33" s="185">
        <v>2</v>
      </c>
      <c r="BO33" s="180">
        <v>1</v>
      </c>
      <c r="BP33" s="13">
        <v>2.5</v>
      </c>
      <c r="BQ33" s="13">
        <v>3</v>
      </c>
      <c r="BR33" s="13">
        <v>3</v>
      </c>
      <c r="BS33" s="13">
        <v>4.5</v>
      </c>
      <c r="BT33" s="13">
        <v>5.5</v>
      </c>
      <c r="BU33" s="13">
        <v>7</v>
      </c>
      <c r="BV33" s="13">
        <v>7</v>
      </c>
      <c r="BW33" s="13">
        <v>7.5</v>
      </c>
      <c r="BX33" s="13"/>
      <c r="BY33" s="13"/>
      <c r="BZ33" s="13"/>
      <c r="CA33" s="13"/>
      <c r="CB33" s="13"/>
      <c r="CC33" s="13"/>
      <c r="CD33" s="13"/>
      <c r="CE33" s="142"/>
    </row>
    <row r="34" spans="1:83" ht="6.75" customHeight="1" x14ac:dyDescent="0.2">
      <c r="A34" s="464"/>
      <c r="B34" s="468"/>
      <c r="C34" s="469"/>
      <c r="D34" s="734"/>
      <c r="E34" s="734"/>
      <c r="F34" s="742"/>
      <c r="G34" s="500"/>
      <c r="H34" s="503"/>
      <c r="I34" s="504"/>
      <c r="J34" s="509"/>
      <c r="K34" s="510"/>
      <c r="L34" s="513"/>
      <c r="M34" s="515"/>
      <c r="N34" s="517"/>
      <c r="O34" s="486"/>
      <c r="P34" s="314"/>
      <c r="U34" s="422"/>
      <c r="V34" s="422"/>
      <c r="W34" s="488"/>
      <c r="X34" s="489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U34" s="185"/>
      <c r="AV34" s="180"/>
      <c r="AZ34" s="13"/>
      <c r="BA34" s="13"/>
      <c r="BB34" s="13"/>
      <c r="BC34" s="13"/>
      <c r="BM34" t="str">
        <f t="shared" si="10"/>
        <v/>
      </c>
      <c r="BN34" s="185">
        <v>2</v>
      </c>
      <c r="BO34" s="180">
        <v>2</v>
      </c>
      <c r="BP34" s="13">
        <v>3</v>
      </c>
      <c r="BQ34" s="13">
        <v>3</v>
      </c>
      <c r="BR34" s="13">
        <v>3.5</v>
      </c>
      <c r="BS34" s="13">
        <v>5</v>
      </c>
      <c r="BT34" s="13">
        <v>5.5</v>
      </c>
      <c r="BU34" s="13">
        <v>7</v>
      </c>
      <c r="BV34" s="13">
        <v>7</v>
      </c>
      <c r="BW34" s="13">
        <v>7.5</v>
      </c>
      <c r="BX34" s="13"/>
      <c r="BY34" s="13"/>
      <c r="BZ34" s="13"/>
      <c r="CA34" s="13"/>
      <c r="CB34" s="13"/>
      <c r="CC34" s="13"/>
      <c r="CD34" s="13"/>
      <c r="CE34" s="142"/>
    </row>
    <row r="35" spans="1:83" ht="6.75" customHeight="1" thickBot="1" x14ac:dyDescent="0.25">
      <c r="A35" s="464"/>
      <c r="B35" s="468"/>
      <c r="C35" s="469"/>
      <c r="D35" s="734"/>
      <c r="E35" s="734"/>
      <c r="F35" s="742"/>
      <c r="G35" s="500"/>
      <c r="H35" s="505"/>
      <c r="I35" s="506"/>
      <c r="J35" s="511"/>
      <c r="K35" s="512"/>
      <c r="L35" s="513"/>
      <c r="M35" s="516"/>
      <c r="N35" s="517"/>
      <c r="O35" s="487"/>
      <c r="P35" s="314"/>
      <c r="U35" s="422"/>
      <c r="V35" s="422"/>
      <c r="W35" s="488"/>
      <c r="X35" s="489"/>
      <c r="AU35" s="185"/>
      <c r="AV35" s="180"/>
      <c r="AZ35" s="13"/>
      <c r="BA35" s="13"/>
      <c r="BB35" s="13"/>
      <c r="BC35" s="13"/>
      <c r="BM35" t="str">
        <f t="shared" si="10"/>
        <v/>
      </c>
      <c r="BN35" s="185">
        <v>2</v>
      </c>
      <c r="BO35" s="180">
        <v>3</v>
      </c>
      <c r="BP35" s="13">
        <v>3.5</v>
      </c>
      <c r="BQ35" s="13">
        <v>3.5</v>
      </c>
      <c r="BR35" s="13">
        <v>3.5</v>
      </c>
      <c r="BS35" s="13">
        <v>5</v>
      </c>
      <c r="BT35" s="13">
        <v>6</v>
      </c>
      <c r="BU35" s="13">
        <v>7</v>
      </c>
      <c r="BV35" s="13">
        <v>7.5</v>
      </c>
      <c r="BW35" s="13">
        <v>7.5</v>
      </c>
      <c r="BX35" s="13"/>
      <c r="BY35" s="13"/>
      <c r="BZ35" s="13"/>
      <c r="CA35" s="13"/>
      <c r="CB35" s="13"/>
      <c r="CC35" s="13"/>
      <c r="CD35" s="13"/>
      <c r="CE35" s="142"/>
    </row>
    <row r="36" spans="1:83" ht="21" customHeight="1" x14ac:dyDescent="0.2">
      <c r="A36" s="464"/>
      <c r="B36" s="468"/>
      <c r="C36" s="469"/>
      <c r="D36" s="734"/>
      <c r="E36" s="734"/>
      <c r="F36" s="742"/>
      <c r="G36" s="96" t="s">
        <v>67</v>
      </c>
      <c r="H36" s="125"/>
      <c r="I36" s="125"/>
      <c r="J36" s="125"/>
      <c r="K36" s="125"/>
      <c r="L36" s="125"/>
      <c r="M36" s="125"/>
      <c r="N36" s="125"/>
      <c r="O36" s="126"/>
      <c r="P36" s="128"/>
      <c r="X36" s="122"/>
      <c r="AU36" s="185"/>
      <c r="AV36" s="180"/>
      <c r="AZ36" s="13"/>
      <c r="BA36" s="13"/>
      <c r="BC36" s="13"/>
      <c r="BM36" t="str">
        <f t="shared" si="10"/>
        <v/>
      </c>
      <c r="BN36" s="185">
        <v>2</v>
      </c>
      <c r="BO36" s="180">
        <v>4</v>
      </c>
      <c r="BQ36" s="3">
        <v>4</v>
      </c>
      <c r="BR36" s="3">
        <v>4</v>
      </c>
      <c r="BS36" s="13">
        <v>5</v>
      </c>
      <c r="BT36" s="13">
        <v>6</v>
      </c>
      <c r="BU36" s="13">
        <v>7</v>
      </c>
      <c r="BV36" s="13">
        <v>7.5</v>
      </c>
      <c r="BW36" s="3">
        <v>8</v>
      </c>
    </row>
    <row r="37" spans="1:83" ht="21" customHeight="1" x14ac:dyDescent="0.2">
      <c r="A37" s="464"/>
      <c r="B37" s="468"/>
      <c r="C37" s="469"/>
      <c r="D37" s="734"/>
      <c r="E37" s="734"/>
      <c r="F37" s="742"/>
      <c r="G37" s="127"/>
      <c r="H37" s="128"/>
      <c r="I37" s="490" t="str">
        <f>AC21</f>
        <v/>
      </c>
      <c r="J37" s="490"/>
      <c r="K37" s="490"/>
      <c r="L37" s="128"/>
      <c r="M37" s="128"/>
      <c r="N37" s="128"/>
      <c r="O37" s="129"/>
      <c r="P37" s="128"/>
      <c r="X37" s="122"/>
      <c r="AU37" s="185"/>
      <c r="AV37" s="180"/>
      <c r="BM37" t="str">
        <f t="shared" si="10"/>
        <v/>
      </c>
      <c r="BN37" s="185">
        <v>2</v>
      </c>
      <c r="BO37" s="180">
        <v>5</v>
      </c>
      <c r="BR37" s="3">
        <v>4.5</v>
      </c>
      <c r="BS37" s="13">
        <v>5</v>
      </c>
      <c r="BT37" s="13">
        <v>6</v>
      </c>
      <c r="BU37" s="13">
        <v>7</v>
      </c>
      <c r="BV37" s="13">
        <v>7.5</v>
      </c>
      <c r="BW37" s="3">
        <v>8</v>
      </c>
    </row>
    <row r="38" spans="1:83" ht="21" customHeight="1" x14ac:dyDescent="0.2">
      <c r="A38" s="465"/>
      <c r="B38" s="470"/>
      <c r="C38" s="471"/>
      <c r="D38" s="734"/>
      <c r="E38" s="734"/>
      <c r="F38" s="743"/>
      <c r="G38" s="127"/>
      <c r="H38" s="128"/>
      <c r="I38" s="744"/>
      <c r="J38" s="744"/>
      <c r="K38" s="744"/>
      <c r="L38" s="491" t="str">
        <f>Z38</f>
        <v/>
      </c>
      <c r="M38" s="491"/>
      <c r="N38" s="491"/>
      <c r="O38" s="492"/>
      <c r="P38" s="311"/>
      <c r="X38" s="122"/>
      <c r="Z38" s="269" t="str">
        <f>IF(A6&gt;214.99,"Význačná trofej","")</f>
        <v/>
      </c>
      <c r="AU38" s="185"/>
      <c r="AV38" s="180"/>
      <c r="BM38" t="str">
        <f t="shared" si="10"/>
        <v/>
      </c>
      <c r="BN38" s="185">
        <v>2</v>
      </c>
      <c r="BO38" s="180">
        <v>6</v>
      </c>
      <c r="BS38" s="13">
        <v>5</v>
      </c>
      <c r="BT38" s="13">
        <v>6</v>
      </c>
      <c r="BU38" s="13">
        <v>7</v>
      </c>
      <c r="BV38" s="13">
        <v>7.5</v>
      </c>
      <c r="BW38" s="3">
        <v>8</v>
      </c>
    </row>
    <row r="39" spans="1:83" ht="21" customHeight="1" x14ac:dyDescent="0.2">
      <c r="A39" s="523"/>
      <c r="B39" s="430" t="s">
        <v>68</v>
      </c>
      <c r="C39" s="431" t="s">
        <v>69</v>
      </c>
      <c r="D39" s="736"/>
      <c r="E39" s="736"/>
      <c r="F39" s="739" t="s">
        <v>70</v>
      </c>
      <c r="G39" s="127"/>
      <c r="H39" s="128"/>
      <c r="I39" s="744"/>
      <c r="J39" s="744"/>
      <c r="K39" s="744"/>
      <c r="L39" s="128"/>
      <c r="M39" s="128"/>
      <c r="N39" s="128"/>
      <c r="O39" s="129"/>
      <c r="P39" s="128"/>
      <c r="X39" s="122"/>
      <c r="AU39" s="185"/>
      <c r="AV39" s="180"/>
      <c r="BM39" t="str">
        <f t="shared" si="10"/>
        <v/>
      </c>
      <c r="BN39" s="185">
        <v>2</v>
      </c>
      <c r="BO39" s="180">
        <v>7</v>
      </c>
      <c r="BS39" s="13">
        <v>5</v>
      </c>
      <c r="BT39" s="13">
        <v>6</v>
      </c>
      <c r="BU39" s="3">
        <v>7.5</v>
      </c>
      <c r="BV39" s="13">
        <v>7.5</v>
      </c>
      <c r="BW39" s="3">
        <v>8</v>
      </c>
    </row>
    <row r="40" spans="1:83" ht="21" customHeight="1" thickBot="1" x14ac:dyDescent="0.3">
      <c r="A40" s="523"/>
      <c r="B40" s="430"/>
      <c r="C40" s="431"/>
      <c r="D40" s="736"/>
      <c r="E40" s="736"/>
      <c r="F40" s="739"/>
      <c r="G40" s="130"/>
      <c r="H40" s="131"/>
      <c r="I40" s="131"/>
      <c r="J40" s="131"/>
      <c r="K40" s="131"/>
      <c r="L40" s="131"/>
      <c r="M40" s="131"/>
      <c r="N40" s="131"/>
      <c r="O40" s="132"/>
      <c r="P40" s="128"/>
      <c r="X40" s="122"/>
      <c r="AU40" s="185"/>
      <c r="BM40" t="str">
        <f t="shared" si="10"/>
        <v/>
      </c>
      <c r="BN40" s="185">
        <v>2</v>
      </c>
      <c r="BO40" s="180">
        <v>8</v>
      </c>
      <c r="BU40" s="3">
        <v>7.5</v>
      </c>
      <c r="BV40" s="3">
        <v>8</v>
      </c>
      <c r="BW40" s="3">
        <v>8</v>
      </c>
    </row>
    <row r="41" spans="1:83" ht="19.5" customHeight="1" thickBot="1" x14ac:dyDescent="0.3">
      <c r="A41" s="523"/>
      <c r="B41" s="430"/>
      <c r="C41" s="431"/>
      <c r="D41" s="736"/>
      <c r="E41" s="736"/>
      <c r="F41" s="739"/>
      <c r="G41" s="44">
        <v>99</v>
      </c>
      <c r="H41" s="525" t="s">
        <v>71</v>
      </c>
      <c r="I41" s="526"/>
      <c r="J41" s="526"/>
      <c r="K41" s="526"/>
      <c r="L41" s="526"/>
      <c r="M41" s="526"/>
      <c r="N41" s="526"/>
      <c r="O41" s="45">
        <f>O32-O33</f>
        <v>0</v>
      </c>
      <c r="P41" s="194"/>
      <c r="X41" s="194"/>
      <c r="AU41" s="185"/>
      <c r="BM41" t="str">
        <f t="shared" si="10"/>
        <v/>
      </c>
      <c r="BN41" s="185">
        <v>2</v>
      </c>
      <c r="BO41" s="180">
        <v>9</v>
      </c>
      <c r="BU41" s="3">
        <v>7.5</v>
      </c>
      <c r="BV41" s="3">
        <v>8</v>
      </c>
      <c r="BW41" s="3">
        <v>8</v>
      </c>
    </row>
    <row r="42" spans="1:83" ht="21.75" customHeight="1" x14ac:dyDescent="0.25">
      <c r="A42" s="523"/>
      <c r="B42" s="430" t="s">
        <v>72</v>
      </c>
      <c r="C42" s="431"/>
      <c r="D42" s="736"/>
      <c r="E42" s="736"/>
      <c r="F42" s="739" t="s">
        <v>73</v>
      </c>
      <c r="G42" s="338"/>
      <c r="H42" s="339"/>
      <c r="I42" s="339"/>
      <c r="J42" s="340"/>
      <c r="K42" s="341"/>
      <c r="L42" s="342"/>
      <c r="M42" s="518"/>
      <c r="N42" s="519"/>
      <c r="O42" s="520"/>
      <c r="P42" s="315"/>
      <c r="T42" s="46"/>
      <c r="W42" s="422"/>
      <c r="X42" s="422"/>
      <c r="BM42" t="str">
        <f t="shared" si="10"/>
        <v/>
      </c>
      <c r="BN42" s="185">
        <v>2</v>
      </c>
      <c r="BO42" s="180">
        <v>10</v>
      </c>
      <c r="BW42" s="3">
        <v>8.5</v>
      </c>
    </row>
    <row r="43" spans="1:83" ht="12" customHeight="1" thickBot="1" x14ac:dyDescent="0.3">
      <c r="A43" s="527"/>
      <c r="B43" s="524"/>
      <c r="C43" s="528"/>
      <c r="D43" s="736"/>
      <c r="E43" s="736"/>
      <c r="F43" s="745"/>
      <c r="G43" s="521" t="s">
        <v>74</v>
      </c>
      <c r="H43" s="330"/>
      <c r="I43" s="330"/>
      <c r="J43" s="330" t="s">
        <v>75</v>
      </c>
      <c r="K43" s="330"/>
      <c r="L43" s="330" t="s">
        <v>76</v>
      </c>
      <c r="M43" s="330"/>
      <c r="N43" s="330" t="s">
        <v>77</v>
      </c>
      <c r="O43" s="331"/>
      <c r="P43" s="309"/>
      <c r="T43" s="46"/>
      <c r="W43" s="522"/>
      <c r="X43" s="522"/>
      <c r="BM43" t="str">
        <f t="shared" si="10"/>
        <v/>
      </c>
      <c r="BN43" s="185">
        <v>3</v>
      </c>
      <c r="BO43" s="180">
        <v>0</v>
      </c>
      <c r="BP43" s="3">
        <v>3</v>
      </c>
      <c r="BQ43" s="3">
        <v>3</v>
      </c>
      <c r="BR43" s="3">
        <v>3.5</v>
      </c>
      <c r="BS43" s="3">
        <v>5</v>
      </c>
      <c r="BT43" s="3">
        <v>5.5</v>
      </c>
      <c r="BU43" s="3">
        <v>7</v>
      </c>
      <c r="BV43" s="3">
        <v>7.5</v>
      </c>
      <c r="BW43" s="3">
        <v>7.5</v>
      </c>
    </row>
    <row r="44" spans="1:83" x14ac:dyDescent="0.25">
      <c r="G44" s="46"/>
      <c r="H44" s="46"/>
      <c r="I44" s="46"/>
      <c r="J44" s="46"/>
      <c r="L44" s="46"/>
      <c r="M44" s="51"/>
      <c r="N44" s="46"/>
      <c r="O44" s="51"/>
      <c r="P44" s="51"/>
      <c r="T44" s="46"/>
      <c r="U44" s="195"/>
      <c r="V44" s="195"/>
      <c r="W44" s="195"/>
      <c r="X44" s="196"/>
      <c r="BM44" t="str">
        <f t="shared" si="10"/>
        <v/>
      </c>
      <c r="BN44" s="185">
        <v>3</v>
      </c>
      <c r="BO44" s="176">
        <v>1</v>
      </c>
      <c r="BP44" s="3">
        <v>3</v>
      </c>
      <c r="BQ44" s="3">
        <v>3.5</v>
      </c>
      <c r="BR44" s="3">
        <v>3.5</v>
      </c>
      <c r="BS44" s="3">
        <v>5</v>
      </c>
      <c r="BT44" s="3">
        <v>6</v>
      </c>
      <c r="BU44" s="3">
        <v>7</v>
      </c>
      <c r="BV44" s="3">
        <v>7.5</v>
      </c>
      <c r="BW44" s="3">
        <v>8</v>
      </c>
    </row>
    <row r="45" spans="1:83" x14ac:dyDescent="0.25">
      <c r="G45" s="46"/>
      <c r="H45" s="46"/>
      <c r="I45" s="46"/>
      <c r="J45" s="46"/>
      <c r="L45" s="46"/>
      <c r="M45" s="51"/>
      <c r="N45" s="46"/>
      <c r="O45" s="51"/>
      <c r="P45" s="51"/>
      <c r="T45" s="46"/>
      <c r="U45" s="195"/>
      <c r="V45" s="195"/>
      <c r="W45" s="195"/>
      <c r="X45" s="196"/>
      <c r="BM45" t="str">
        <f t="shared" si="10"/>
        <v/>
      </c>
      <c r="BN45" s="185">
        <v>3</v>
      </c>
      <c r="BO45" s="176">
        <v>2</v>
      </c>
      <c r="BP45" s="3">
        <v>3.5</v>
      </c>
      <c r="BQ45" s="3">
        <v>3.5</v>
      </c>
      <c r="BR45" s="3">
        <v>4</v>
      </c>
      <c r="BS45" s="3">
        <v>5</v>
      </c>
      <c r="BT45" s="3">
        <v>6</v>
      </c>
      <c r="BU45" s="3">
        <v>7</v>
      </c>
      <c r="BV45" s="3">
        <v>7.5</v>
      </c>
      <c r="BW45" s="3">
        <v>8</v>
      </c>
    </row>
    <row r="46" spans="1:83" x14ac:dyDescent="0.25">
      <c r="G46" s="46"/>
      <c r="H46" s="46"/>
      <c r="I46" s="46"/>
      <c r="J46" s="46"/>
      <c r="L46" s="46"/>
      <c r="M46" s="51"/>
      <c r="N46" s="46"/>
      <c r="O46" s="51"/>
      <c r="P46" s="51"/>
      <c r="T46" s="46"/>
      <c r="U46" s="195"/>
      <c r="V46" s="195"/>
      <c r="W46" s="195"/>
      <c r="X46" s="196"/>
      <c r="BM46" t="str">
        <f t="shared" si="10"/>
        <v/>
      </c>
      <c r="BN46" s="185">
        <v>3</v>
      </c>
      <c r="BO46" s="176">
        <v>3</v>
      </c>
      <c r="BQ46" s="3">
        <v>4</v>
      </c>
      <c r="BR46" s="3">
        <v>4</v>
      </c>
      <c r="BS46" s="3">
        <v>5.5</v>
      </c>
      <c r="BT46" s="3">
        <v>6</v>
      </c>
      <c r="BU46" s="3">
        <v>7.5</v>
      </c>
      <c r="BV46" s="3">
        <v>8</v>
      </c>
      <c r="BW46" s="3">
        <v>8</v>
      </c>
    </row>
    <row r="47" spans="1:83" x14ac:dyDescent="0.25">
      <c r="G47" s="46"/>
      <c r="H47" s="46"/>
      <c r="I47" s="46"/>
      <c r="J47" s="46"/>
      <c r="L47" s="46"/>
      <c r="M47" s="51"/>
      <c r="N47" s="46"/>
      <c r="O47" s="51"/>
      <c r="P47" s="51"/>
      <c r="T47" s="46"/>
      <c r="U47" s="195"/>
      <c r="V47" s="195"/>
      <c r="W47" s="195"/>
      <c r="X47" s="196"/>
      <c r="BM47" t="str">
        <f t="shared" si="10"/>
        <v/>
      </c>
      <c r="BN47" s="185">
        <v>3</v>
      </c>
      <c r="BO47" s="176">
        <v>4</v>
      </c>
      <c r="BR47" s="3">
        <v>4.5</v>
      </c>
      <c r="BS47" s="3">
        <v>5.5</v>
      </c>
      <c r="BT47" s="3">
        <v>6.5</v>
      </c>
      <c r="BU47" s="3">
        <v>7.5</v>
      </c>
      <c r="BV47" s="3">
        <v>8</v>
      </c>
      <c r="BW47" s="3">
        <v>8</v>
      </c>
    </row>
    <row r="48" spans="1:83" x14ac:dyDescent="0.25">
      <c r="G48" s="46"/>
      <c r="H48" s="46"/>
      <c r="I48" s="46"/>
      <c r="J48" s="46"/>
      <c r="L48" s="46"/>
      <c r="M48" s="51"/>
      <c r="N48" s="46"/>
      <c r="O48" s="51"/>
      <c r="P48" s="51"/>
      <c r="T48" s="46"/>
      <c r="U48" s="195"/>
      <c r="V48" s="195"/>
      <c r="W48" s="195"/>
      <c r="X48" s="196"/>
      <c r="BM48" t="str">
        <f t="shared" si="10"/>
        <v/>
      </c>
      <c r="BN48" s="185">
        <v>3</v>
      </c>
      <c r="BO48" s="176">
        <v>5</v>
      </c>
      <c r="BS48" s="3">
        <v>5.5</v>
      </c>
      <c r="BT48" s="3">
        <v>6.5</v>
      </c>
      <c r="BU48" s="3">
        <v>7.5</v>
      </c>
      <c r="BV48" s="3">
        <v>8</v>
      </c>
      <c r="BW48" s="3">
        <v>8</v>
      </c>
    </row>
    <row r="49" spans="7:75" x14ac:dyDescent="0.25">
      <c r="G49" s="46"/>
      <c r="H49" s="46"/>
      <c r="I49" s="46"/>
      <c r="J49" s="46"/>
      <c r="L49" s="46"/>
      <c r="M49" s="51"/>
      <c r="N49" s="46"/>
      <c r="O49" s="51"/>
      <c r="P49" s="51"/>
      <c r="T49" s="46"/>
      <c r="U49" s="195"/>
      <c r="V49" s="195"/>
      <c r="W49" s="195"/>
      <c r="X49" s="196"/>
      <c r="BM49" t="str">
        <f t="shared" si="10"/>
        <v/>
      </c>
      <c r="BN49" s="185">
        <v>3</v>
      </c>
      <c r="BO49" s="176">
        <v>6</v>
      </c>
      <c r="BU49" s="3">
        <v>7.5</v>
      </c>
      <c r="BV49" s="3">
        <v>8</v>
      </c>
      <c r="BW49" s="3">
        <v>8.5</v>
      </c>
    </row>
    <row r="50" spans="7:75" x14ac:dyDescent="0.25">
      <c r="G50" s="46"/>
      <c r="H50" s="46"/>
      <c r="I50" s="46"/>
      <c r="J50" s="46"/>
      <c r="L50" s="46"/>
      <c r="M50" s="51"/>
      <c r="N50" s="46"/>
      <c r="O50" s="51"/>
      <c r="P50" s="51"/>
      <c r="T50" s="46"/>
      <c r="U50" s="195"/>
      <c r="V50" s="195"/>
      <c r="W50" s="195"/>
      <c r="X50" s="196"/>
      <c r="BM50" t="str">
        <f t="shared" si="10"/>
        <v/>
      </c>
      <c r="BN50" s="185">
        <v>3</v>
      </c>
      <c r="BO50" s="176">
        <v>7</v>
      </c>
      <c r="BU50" s="3">
        <v>7.5</v>
      </c>
      <c r="BV50" s="3">
        <v>8</v>
      </c>
      <c r="BW50" s="3">
        <v>8.5</v>
      </c>
    </row>
    <row r="51" spans="7:75" x14ac:dyDescent="0.25">
      <c r="G51" s="46"/>
      <c r="H51" s="46"/>
      <c r="I51" s="46"/>
      <c r="J51" s="46"/>
      <c r="L51" s="46"/>
      <c r="M51" s="51"/>
      <c r="N51" s="46"/>
      <c r="O51" s="51"/>
      <c r="P51" s="51"/>
      <c r="T51" s="46"/>
      <c r="U51" s="195"/>
      <c r="V51" s="195"/>
      <c r="W51" s="195"/>
      <c r="X51" s="196"/>
      <c r="BM51" t="str">
        <f t="shared" si="10"/>
        <v/>
      </c>
      <c r="BN51" s="185">
        <v>3</v>
      </c>
      <c r="BO51" s="176">
        <v>8</v>
      </c>
      <c r="BU51" s="3">
        <v>7.5</v>
      </c>
      <c r="BV51" s="3">
        <v>8</v>
      </c>
      <c r="BW51" s="3">
        <v>8.5</v>
      </c>
    </row>
    <row r="52" spans="7:75" x14ac:dyDescent="0.25">
      <c r="G52" s="46"/>
      <c r="H52" s="46"/>
      <c r="I52" s="46"/>
      <c r="J52" s="46"/>
      <c r="L52" s="46"/>
      <c r="M52" s="51"/>
      <c r="N52" s="46"/>
      <c r="O52" s="51"/>
      <c r="P52" s="51"/>
      <c r="T52" s="46"/>
      <c r="U52" s="195"/>
      <c r="V52" s="195"/>
      <c r="W52" s="195"/>
      <c r="X52" s="196"/>
      <c r="BM52" t="str">
        <f t="shared" si="10"/>
        <v/>
      </c>
      <c r="BN52" s="185">
        <v>3</v>
      </c>
      <c r="BO52" s="176">
        <v>9</v>
      </c>
      <c r="BU52" s="3">
        <v>7.5</v>
      </c>
      <c r="BV52" s="3">
        <v>8</v>
      </c>
      <c r="BW52" s="3">
        <v>8.5</v>
      </c>
    </row>
    <row r="53" spans="7:75" x14ac:dyDescent="0.25">
      <c r="G53" s="46"/>
      <c r="H53" s="46"/>
      <c r="I53" s="46"/>
      <c r="J53" s="46"/>
      <c r="L53" s="46"/>
      <c r="M53" s="51"/>
      <c r="N53" s="46"/>
      <c r="O53" s="51"/>
      <c r="P53" s="51"/>
      <c r="T53" s="46"/>
      <c r="U53" s="195"/>
      <c r="V53" s="195"/>
      <c r="W53" s="195"/>
      <c r="X53" s="196"/>
      <c r="BM53" t="str">
        <f t="shared" si="10"/>
        <v/>
      </c>
      <c r="BN53" s="185">
        <v>3</v>
      </c>
      <c r="BO53" s="176">
        <v>10</v>
      </c>
      <c r="BU53" s="3">
        <v>7.5</v>
      </c>
      <c r="BV53" s="3">
        <v>8</v>
      </c>
      <c r="BW53" s="3">
        <v>8.5</v>
      </c>
    </row>
    <row r="54" spans="7:75" x14ac:dyDescent="0.25">
      <c r="G54" s="46"/>
      <c r="H54" s="46"/>
      <c r="I54" s="46"/>
      <c r="J54" s="46"/>
      <c r="L54" s="46"/>
      <c r="M54" s="51"/>
      <c r="N54" s="46"/>
      <c r="O54" s="51"/>
      <c r="P54" s="51"/>
      <c r="T54" s="46"/>
      <c r="U54" s="195"/>
      <c r="V54" s="195"/>
      <c r="W54" s="195"/>
      <c r="X54" s="196"/>
      <c r="BM54" t="str">
        <f t="shared" si="10"/>
        <v/>
      </c>
      <c r="BN54" s="185">
        <v>4</v>
      </c>
      <c r="BO54" s="176">
        <v>0</v>
      </c>
      <c r="BP54" s="3">
        <v>3.5</v>
      </c>
      <c r="BQ54" s="3">
        <v>3.5</v>
      </c>
      <c r="BR54" s="3">
        <v>3.5</v>
      </c>
      <c r="BS54" s="3">
        <v>5</v>
      </c>
      <c r="BT54" s="3">
        <v>6</v>
      </c>
      <c r="BU54" s="3">
        <v>7</v>
      </c>
      <c r="BV54" s="3">
        <v>7.5</v>
      </c>
      <c r="BW54" s="3">
        <v>8</v>
      </c>
    </row>
    <row r="55" spans="7:75" x14ac:dyDescent="0.25">
      <c r="G55" s="46"/>
      <c r="H55" s="46"/>
      <c r="I55" s="46"/>
      <c r="J55" s="46"/>
      <c r="L55" s="46"/>
      <c r="M55" s="51"/>
      <c r="N55" s="46"/>
      <c r="O55" s="51"/>
      <c r="P55" s="51"/>
      <c r="T55" s="46"/>
      <c r="U55" s="195"/>
      <c r="V55" s="195"/>
      <c r="W55" s="195"/>
      <c r="X55" s="196"/>
      <c r="BM55" t="str">
        <f t="shared" si="10"/>
        <v/>
      </c>
      <c r="BN55" s="185">
        <v>4</v>
      </c>
      <c r="BO55" s="176">
        <v>1</v>
      </c>
      <c r="BP55" s="3">
        <v>4</v>
      </c>
      <c r="BQ55" s="3">
        <v>4</v>
      </c>
      <c r="BR55" s="3">
        <v>4</v>
      </c>
      <c r="BS55" s="3">
        <v>5</v>
      </c>
      <c r="BT55" s="3">
        <v>6</v>
      </c>
      <c r="BU55" s="3">
        <v>7.5</v>
      </c>
      <c r="BV55" s="3">
        <v>7.5</v>
      </c>
      <c r="BW55" s="3">
        <v>8</v>
      </c>
    </row>
    <row r="56" spans="7:75" x14ac:dyDescent="0.25">
      <c r="G56" s="46"/>
      <c r="H56" s="46"/>
      <c r="I56" s="46"/>
      <c r="J56" s="46"/>
      <c r="L56" s="46"/>
      <c r="M56" s="51"/>
      <c r="N56" s="46"/>
      <c r="O56" s="51"/>
      <c r="P56" s="51"/>
      <c r="T56" s="46"/>
      <c r="U56" s="195"/>
      <c r="V56" s="195"/>
      <c r="W56" s="195"/>
      <c r="X56" s="196"/>
      <c r="BM56" t="str">
        <f t="shared" si="10"/>
        <v/>
      </c>
      <c r="BN56" s="185">
        <v>4</v>
      </c>
      <c r="BO56" s="176">
        <v>2</v>
      </c>
      <c r="BQ56" s="3">
        <v>4</v>
      </c>
      <c r="BR56" s="3">
        <v>4.5</v>
      </c>
      <c r="BS56" s="3">
        <v>5.5</v>
      </c>
      <c r="BT56" s="3">
        <v>6</v>
      </c>
      <c r="BU56" s="3">
        <v>7.5</v>
      </c>
      <c r="BV56" s="3">
        <v>8</v>
      </c>
      <c r="BW56" s="3">
        <v>8</v>
      </c>
    </row>
    <row r="57" spans="7:75" x14ac:dyDescent="0.25">
      <c r="G57" s="46"/>
      <c r="H57" s="46"/>
      <c r="I57" s="46"/>
      <c r="J57" s="46"/>
      <c r="L57" s="46"/>
      <c r="M57" s="51"/>
      <c r="N57" s="46"/>
      <c r="O57" s="51"/>
      <c r="P57" s="51"/>
      <c r="T57" s="46"/>
      <c r="U57" s="195"/>
      <c r="V57" s="195"/>
      <c r="W57" s="195"/>
      <c r="X57" s="196"/>
      <c r="BM57" t="str">
        <f t="shared" si="10"/>
        <v/>
      </c>
      <c r="BN57" s="185">
        <v>4</v>
      </c>
      <c r="BO57" s="176">
        <v>3</v>
      </c>
      <c r="BR57" s="3">
        <v>4.5</v>
      </c>
      <c r="BS57" s="3">
        <v>5.5</v>
      </c>
      <c r="BT57" s="3">
        <v>6.5</v>
      </c>
      <c r="BU57" s="3">
        <v>7.5</v>
      </c>
      <c r="BV57" s="3">
        <v>8</v>
      </c>
      <c r="BW57" s="3">
        <v>8</v>
      </c>
    </row>
    <row r="58" spans="7:75" ht="25.5" customHeight="1" x14ac:dyDescent="0.25">
      <c r="G58" s="46"/>
      <c r="H58" s="46"/>
      <c r="I58" s="46"/>
      <c r="J58" s="46"/>
      <c r="L58" s="46"/>
      <c r="M58" s="51"/>
      <c r="N58" s="46"/>
      <c r="O58" s="51"/>
      <c r="P58" s="51"/>
      <c r="T58" s="46"/>
      <c r="U58" s="195"/>
      <c r="V58" s="195"/>
      <c r="W58" s="195"/>
      <c r="X58" s="196"/>
      <c r="BM58" t="str">
        <f t="shared" si="10"/>
        <v/>
      </c>
      <c r="BN58" s="185">
        <v>4</v>
      </c>
      <c r="BO58" s="176">
        <v>4</v>
      </c>
      <c r="BS58" s="3">
        <v>5.5</v>
      </c>
      <c r="BT58" s="3">
        <v>6.5</v>
      </c>
      <c r="BU58" s="3">
        <v>7.5</v>
      </c>
      <c r="BV58" s="3">
        <v>8</v>
      </c>
      <c r="BW58" s="3">
        <v>8.5</v>
      </c>
    </row>
    <row r="59" spans="7:75" ht="27" customHeight="1" x14ac:dyDescent="0.25">
      <c r="G59" s="46"/>
      <c r="H59" s="46"/>
      <c r="I59" s="46"/>
      <c r="J59" s="46"/>
      <c r="L59" s="46"/>
      <c r="M59" s="51"/>
      <c r="N59" s="46"/>
      <c r="O59" s="51"/>
      <c r="P59" s="51"/>
      <c r="T59" s="46"/>
      <c r="U59" s="195"/>
      <c r="V59" s="195"/>
      <c r="W59" s="195"/>
      <c r="X59" s="196"/>
      <c r="BM59" t="str">
        <f t="shared" si="10"/>
        <v/>
      </c>
      <c r="BN59" s="185">
        <v>4</v>
      </c>
      <c r="BO59" s="176">
        <v>5</v>
      </c>
      <c r="BS59" s="3">
        <v>5.5</v>
      </c>
      <c r="BT59" s="3">
        <v>6.5</v>
      </c>
      <c r="BU59" s="3">
        <v>7.5</v>
      </c>
      <c r="BV59" s="3">
        <v>8</v>
      </c>
      <c r="BW59" s="3">
        <v>8.5</v>
      </c>
    </row>
    <row r="60" spans="7:75" x14ac:dyDescent="0.25">
      <c r="BM60" t="str">
        <f t="shared" si="10"/>
        <v/>
      </c>
      <c r="BN60" s="185">
        <v>4</v>
      </c>
      <c r="BO60" s="176">
        <v>6</v>
      </c>
      <c r="BU60" s="3">
        <v>7.5</v>
      </c>
      <c r="BV60" s="3">
        <v>8</v>
      </c>
      <c r="BW60" s="3">
        <v>8.5</v>
      </c>
    </row>
    <row r="61" spans="7:75" x14ac:dyDescent="0.25">
      <c r="BM61" t="str">
        <f t="shared" si="10"/>
        <v/>
      </c>
      <c r="BN61" s="185">
        <v>4</v>
      </c>
      <c r="BO61" s="176">
        <v>7</v>
      </c>
      <c r="BU61" s="3">
        <v>7.5</v>
      </c>
      <c r="BV61" s="3">
        <v>8</v>
      </c>
      <c r="BW61" s="3">
        <v>8.5</v>
      </c>
    </row>
    <row r="62" spans="7:75" x14ac:dyDescent="0.25">
      <c r="BM62" t="str">
        <f t="shared" si="10"/>
        <v/>
      </c>
      <c r="BN62" s="185">
        <v>4</v>
      </c>
      <c r="BO62" s="176">
        <v>8</v>
      </c>
      <c r="BU62" s="3">
        <v>7.5</v>
      </c>
      <c r="BV62" s="3">
        <v>8</v>
      </c>
      <c r="BW62" s="3">
        <v>8.5</v>
      </c>
    </row>
    <row r="63" spans="7:75" x14ac:dyDescent="0.25">
      <c r="BM63" t="str">
        <f t="shared" si="10"/>
        <v/>
      </c>
      <c r="BN63" s="185">
        <v>4</v>
      </c>
      <c r="BO63" s="176">
        <v>9</v>
      </c>
      <c r="BU63" s="3">
        <v>7.5</v>
      </c>
      <c r="BV63" s="3">
        <v>8</v>
      </c>
      <c r="BW63" s="3">
        <v>8.5</v>
      </c>
    </row>
    <row r="64" spans="7:75" x14ac:dyDescent="0.25">
      <c r="BM64" t="str">
        <f t="shared" si="10"/>
        <v/>
      </c>
      <c r="BN64" s="185">
        <v>4</v>
      </c>
      <c r="BO64" s="176">
        <v>10</v>
      </c>
      <c r="BU64" s="3">
        <v>7.5</v>
      </c>
      <c r="BV64" s="3">
        <v>8</v>
      </c>
      <c r="BW64" s="3">
        <v>8.5</v>
      </c>
    </row>
    <row r="65" spans="65:75" x14ac:dyDescent="0.25">
      <c r="BM65" t="str">
        <f t="shared" si="10"/>
        <v/>
      </c>
      <c r="BN65" s="185">
        <v>5</v>
      </c>
      <c r="BO65" s="176">
        <v>0</v>
      </c>
      <c r="BP65" s="3">
        <v>4</v>
      </c>
      <c r="BQ65" s="3">
        <v>4</v>
      </c>
      <c r="BR65" s="3">
        <v>4</v>
      </c>
      <c r="BS65" s="3">
        <v>5.5</v>
      </c>
      <c r="BT65" s="3">
        <v>6</v>
      </c>
      <c r="BU65" s="3">
        <v>7.5</v>
      </c>
      <c r="BV65" s="3">
        <v>8</v>
      </c>
      <c r="BW65" s="3">
        <v>8</v>
      </c>
    </row>
    <row r="66" spans="65:75" x14ac:dyDescent="0.25">
      <c r="BM66" t="str">
        <f t="shared" si="10"/>
        <v/>
      </c>
      <c r="BN66" s="185">
        <v>5</v>
      </c>
      <c r="BO66" s="176">
        <v>1</v>
      </c>
      <c r="BQ66" s="3">
        <v>4.5</v>
      </c>
      <c r="BR66" s="3">
        <v>4.5</v>
      </c>
      <c r="BS66" s="3">
        <v>5.5</v>
      </c>
      <c r="BT66" s="3">
        <v>6.5</v>
      </c>
      <c r="BU66" s="3">
        <v>7.5</v>
      </c>
      <c r="BV66" s="3">
        <v>8</v>
      </c>
      <c r="BW66" s="3">
        <v>8.5</v>
      </c>
    </row>
    <row r="67" spans="65:75" x14ac:dyDescent="0.25">
      <c r="BM67" t="str">
        <f t="shared" si="10"/>
        <v/>
      </c>
      <c r="BN67" s="185">
        <v>5</v>
      </c>
      <c r="BO67" s="176">
        <v>2</v>
      </c>
      <c r="BQ67" s="3">
        <v>4.5</v>
      </c>
      <c r="BR67" s="3">
        <v>4.5</v>
      </c>
      <c r="BS67" s="3">
        <v>5.5</v>
      </c>
      <c r="BT67" s="3">
        <v>6.5</v>
      </c>
      <c r="BU67" s="3">
        <v>7.5</v>
      </c>
      <c r="BV67" s="3">
        <v>8</v>
      </c>
      <c r="BW67" s="3">
        <v>8.5</v>
      </c>
    </row>
    <row r="68" spans="65:75" x14ac:dyDescent="0.25">
      <c r="BM68" t="str">
        <f t="shared" si="10"/>
        <v/>
      </c>
      <c r="BN68" s="185">
        <v>5</v>
      </c>
      <c r="BO68" s="176">
        <v>3</v>
      </c>
      <c r="BS68" s="3">
        <v>5.5</v>
      </c>
      <c r="BT68" s="3">
        <v>6.5</v>
      </c>
      <c r="BU68" s="3">
        <v>7.5</v>
      </c>
      <c r="BV68" s="3">
        <v>8</v>
      </c>
      <c r="BW68" s="3">
        <v>8.5</v>
      </c>
    </row>
    <row r="69" spans="65:75" x14ac:dyDescent="0.25">
      <c r="BM69" t="str">
        <f t="shared" si="10"/>
        <v/>
      </c>
      <c r="BN69" s="185">
        <v>5</v>
      </c>
      <c r="BO69" s="176">
        <v>4</v>
      </c>
      <c r="BS69" s="3">
        <v>5.5</v>
      </c>
      <c r="BT69" s="3">
        <v>6.5</v>
      </c>
      <c r="BU69" s="3">
        <v>7.5</v>
      </c>
      <c r="BV69" s="3">
        <v>8</v>
      </c>
      <c r="BW69" s="3">
        <v>8.5</v>
      </c>
    </row>
    <row r="70" spans="65:75" x14ac:dyDescent="0.25">
      <c r="BM70" t="str">
        <f t="shared" si="10"/>
        <v/>
      </c>
      <c r="BN70" s="185">
        <v>5</v>
      </c>
      <c r="BO70" s="176">
        <v>5</v>
      </c>
      <c r="BU70" s="3">
        <v>7.5</v>
      </c>
      <c r="BV70" s="3">
        <v>8</v>
      </c>
      <c r="BW70" s="3">
        <v>8.5</v>
      </c>
    </row>
    <row r="71" spans="65:75" x14ac:dyDescent="0.25">
      <c r="BM71" t="str">
        <f t="shared" si="10"/>
        <v/>
      </c>
      <c r="BN71" s="185">
        <v>5</v>
      </c>
      <c r="BO71" s="176">
        <v>6</v>
      </c>
      <c r="BU71" s="3">
        <v>7.5</v>
      </c>
      <c r="BV71" s="3">
        <v>8</v>
      </c>
      <c r="BW71" s="3">
        <v>8.5</v>
      </c>
    </row>
    <row r="72" spans="65:75" x14ac:dyDescent="0.25">
      <c r="BM72" t="str">
        <f t="shared" si="10"/>
        <v/>
      </c>
      <c r="BN72" s="185">
        <v>5</v>
      </c>
      <c r="BO72" s="176">
        <v>7</v>
      </c>
      <c r="BW72" s="3">
        <v>9</v>
      </c>
    </row>
    <row r="73" spans="65:75" x14ac:dyDescent="0.25">
      <c r="BM73" t="str">
        <f t="shared" si="10"/>
        <v/>
      </c>
      <c r="BN73" s="185">
        <v>5</v>
      </c>
      <c r="BO73" s="176">
        <v>8</v>
      </c>
      <c r="BW73" s="3">
        <v>9</v>
      </c>
    </row>
    <row r="74" spans="65:75" x14ac:dyDescent="0.25">
      <c r="BM74" t="str">
        <f t="shared" si="10"/>
        <v/>
      </c>
      <c r="BN74" s="185">
        <v>5</v>
      </c>
      <c r="BO74" s="176">
        <v>9</v>
      </c>
      <c r="BW74" s="3">
        <v>9</v>
      </c>
    </row>
    <row r="75" spans="65:75" x14ac:dyDescent="0.25">
      <c r="BM75" t="str">
        <f t="shared" ref="BM75:BM138" si="15">IF(BN75&amp;BO75=$CJ$9&amp;$CJ$10,"OK","")</f>
        <v/>
      </c>
      <c r="BN75" s="185">
        <v>5</v>
      </c>
      <c r="BO75" s="176">
        <v>10</v>
      </c>
      <c r="BW75" s="3">
        <v>9</v>
      </c>
    </row>
    <row r="76" spans="65:75" x14ac:dyDescent="0.25">
      <c r="BM76" t="str">
        <f t="shared" si="15"/>
        <v/>
      </c>
      <c r="BN76" s="185">
        <v>6</v>
      </c>
      <c r="BO76" s="176">
        <v>0</v>
      </c>
      <c r="BQ76" s="3">
        <v>4.5</v>
      </c>
      <c r="BR76" s="3">
        <v>4.5</v>
      </c>
      <c r="BS76" s="3">
        <v>5.5</v>
      </c>
      <c r="BT76" s="3">
        <v>6.5</v>
      </c>
      <c r="BU76" s="3">
        <v>8</v>
      </c>
      <c r="BV76" s="3">
        <v>8</v>
      </c>
      <c r="BW76" s="3">
        <v>8.5</v>
      </c>
    </row>
    <row r="77" spans="65:75" x14ac:dyDescent="0.25">
      <c r="BM77" t="str">
        <f t="shared" si="15"/>
        <v/>
      </c>
      <c r="BN77" s="176">
        <v>6</v>
      </c>
      <c r="BO77" s="176">
        <v>1</v>
      </c>
      <c r="BR77" s="3">
        <v>5</v>
      </c>
      <c r="BS77" s="3">
        <v>5.5</v>
      </c>
      <c r="BT77" s="3">
        <v>6.5</v>
      </c>
      <c r="BU77" s="3">
        <v>8</v>
      </c>
      <c r="BV77" s="3">
        <v>8</v>
      </c>
      <c r="BW77" s="3">
        <v>8.5</v>
      </c>
    </row>
    <row r="78" spans="65:75" x14ac:dyDescent="0.25">
      <c r="BM78" t="str">
        <f t="shared" si="15"/>
        <v/>
      </c>
      <c r="BN78" s="176">
        <v>6</v>
      </c>
      <c r="BO78" s="176">
        <v>2</v>
      </c>
      <c r="BS78" s="3">
        <v>6</v>
      </c>
      <c r="BT78" s="3">
        <v>6.5</v>
      </c>
      <c r="BU78" s="3">
        <v>8</v>
      </c>
      <c r="BV78" s="3">
        <v>8.5</v>
      </c>
      <c r="BW78" s="3">
        <v>8.5</v>
      </c>
    </row>
    <row r="79" spans="65:75" x14ac:dyDescent="0.25">
      <c r="BM79" t="str">
        <f t="shared" si="15"/>
        <v/>
      </c>
      <c r="BN79" s="176">
        <v>6</v>
      </c>
      <c r="BO79" s="176">
        <v>3</v>
      </c>
      <c r="BS79" s="3">
        <v>6</v>
      </c>
      <c r="BT79" s="3">
        <v>6.5</v>
      </c>
      <c r="BU79" s="3">
        <v>8</v>
      </c>
      <c r="BV79" s="3">
        <v>8.5</v>
      </c>
      <c r="BW79" s="3">
        <v>8.5</v>
      </c>
    </row>
    <row r="80" spans="65:75" x14ac:dyDescent="0.25">
      <c r="BM80" t="str">
        <f t="shared" si="15"/>
        <v/>
      </c>
      <c r="BN80" s="176">
        <v>6</v>
      </c>
      <c r="BO80" s="176">
        <v>4</v>
      </c>
      <c r="BU80" s="3">
        <v>8</v>
      </c>
      <c r="BV80" s="3">
        <v>8.5</v>
      </c>
      <c r="BW80" s="3">
        <v>8.5</v>
      </c>
    </row>
    <row r="81" spans="65:75" x14ac:dyDescent="0.25">
      <c r="BM81" t="str">
        <f t="shared" si="15"/>
        <v/>
      </c>
      <c r="BN81" s="176">
        <v>6</v>
      </c>
      <c r="BO81" s="176">
        <v>5</v>
      </c>
      <c r="BV81" s="3">
        <v>8.5</v>
      </c>
      <c r="BW81" s="3">
        <v>9</v>
      </c>
    </row>
    <row r="82" spans="65:75" x14ac:dyDescent="0.25">
      <c r="BM82" t="str">
        <f t="shared" si="15"/>
        <v/>
      </c>
      <c r="BN82" s="176">
        <v>6</v>
      </c>
      <c r="BO82" s="176">
        <v>6</v>
      </c>
      <c r="BV82" s="3">
        <v>8.5</v>
      </c>
      <c r="BW82" s="3">
        <v>9</v>
      </c>
    </row>
    <row r="83" spans="65:75" x14ac:dyDescent="0.25">
      <c r="BM83" t="str">
        <f t="shared" si="15"/>
        <v/>
      </c>
      <c r="BN83" s="176">
        <v>6</v>
      </c>
      <c r="BO83" s="176">
        <v>7</v>
      </c>
      <c r="BV83" s="3">
        <v>8.5</v>
      </c>
      <c r="BW83" s="3">
        <v>9</v>
      </c>
    </row>
    <row r="84" spans="65:75" x14ac:dyDescent="0.25">
      <c r="BM84" t="str">
        <f t="shared" si="15"/>
        <v/>
      </c>
      <c r="BN84" s="176">
        <v>6</v>
      </c>
      <c r="BO84" s="176">
        <v>8</v>
      </c>
      <c r="BV84" s="3">
        <v>8.5</v>
      </c>
      <c r="BW84" s="3">
        <v>9</v>
      </c>
    </row>
    <row r="85" spans="65:75" x14ac:dyDescent="0.25">
      <c r="BM85" t="str">
        <f t="shared" si="15"/>
        <v/>
      </c>
      <c r="BN85" s="176">
        <v>6</v>
      </c>
      <c r="BO85" s="176">
        <v>9</v>
      </c>
      <c r="BV85" s="3">
        <v>8.5</v>
      </c>
      <c r="BW85" s="3">
        <v>9</v>
      </c>
    </row>
    <row r="86" spans="65:75" x14ac:dyDescent="0.25">
      <c r="BM86" t="str">
        <f t="shared" si="15"/>
        <v/>
      </c>
      <c r="BN86" s="176">
        <v>6</v>
      </c>
      <c r="BO86" s="176">
        <v>10</v>
      </c>
      <c r="BV86" s="3">
        <v>8.5</v>
      </c>
      <c r="BW86" s="3">
        <v>9</v>
      </c>
    </row>
    <row r="87" spans="65:75" x14ac:dyDescent="0.25">
      <c r="BM87" t="str">
        <f t="shared" si="15"/>
        <v/>
      </c>
      <c r="BN87" s="176">
        <v>7</v>
      </c>
      <c r="BO87" s="176">
        <v>0</v>
      </c>
      <c r="BR87" s="3">
        <v>5</v>
      </c>
      <c r="BS87" s="3">
        <v>6</v>
      </c>
      <c r="BT87" s="3">
        <v>6.5</v>
      </c>
      <c r="BU87" s="3">
        <v>8</v>
      </c>
      <c r="BV87" s="3">
        <v>8.5</v>
      </c>
      <c r="BW87" s="3">
        <v>8.5</v>
      </c>
    </row>
    <row r="88" spans="65:75" x14ac:dyDescent="0.25">
      <c r="BM88" t="str">
        <f t="shared" si="15"/>
        <v/>
      </c>
      <c r="BN88" s="176">
        <v>7</v>
      </c>
      <c r="BO88" s="176">
        <v>1</v>
      </c>
      <c r="BS88" s="3">
        <v>6</v>
      </c>
      <c r="BT88" s="3">
        <v>6.5</v>
      </c>
      <c r="BU88" s="3">
        <v>8</v>
      </c>
      <c r="BV88" s="3">
        <v>8.5</v>
      </c>
      <c r="BW88" s="3">
        <v>9</v>
      </c>
    </row>
    <row r="89" spans="65:75" x14ac:dyDescent="0.25">
      <c r="BM89" t="str">
        <f t="shared" si="15"/>
        <v/>
      </c>
      <c r="BN89" s="176">
        <v>7</v>
      </c>
      <c r="BO89" s="176">
        <v>2</v>
      </c>
      <c r="BT89" s="3">
        <v>7</v>
      </c>
      <c r="BU89" s="3">
        <v>8.5</v>
      </c>
      <c r="BV89" s="3">
        <v>8.5</v>
      </c>
      <c r="BW89" s="3">
        <v>9</v>
      </c>
    </row>
    <row r="90" spans="65:75" x14ac:dyDescent="0.25">
      <c r="BM90" t="str">
        <f t="shared" si="15"/>
        <v/>
      </c>
      <c r="BN90" s="176">
        <v>7</v>
      </c>
      <c r="BO90" s="176">
        <v>3</v>
      </c>
      <c r="BU90" s="3">
        <v>8.5</v>
      </c>
      <c r="BV90" s="3">
        <v>8.5</v>
      </c>
      <c r="BW90" s="3">
        <v>9</v>
      </c>
    </row>
    <row r="91" spans="65:75" x14ac:dyDescent="0.25">
      <c r="BM91" t="str">
        <f t="shared" si="15"/>
        <v/>
      </c>
      <c r="BN91" s="176">
        <v>7</v>
      </c>
      <c r="BO91" s="176">
        <v>4</v>
      </c>
      <c r="BU91" s="3">
        <v>8.5</v>
      </c>
      <c r="BV91" s="3">
        <v>8.5</v>
      </c>
      <c r="BW91" s="3">
        <v>9</v>
      </c>
    </row>
    <row r="92" spans="65:75" x14ac:dyDescent="0.25">
      <c r="BM92" t="str">
        <f t="shared" si="15"/>
        <v/>
      </c>
      <c r="BN92" s="176">
        <v>7</v>
      </c>
      <c r="BO92" s="176">
        <v>5</v>
      </c>
      <c r="BU92" s="3">
        <v>8.5</v>
      </c>
      <c r="BV92" s="3">
        <v>8.5</v>
      </c>
      <c r="BW92" s="3">
        <v>9</v>
      </c>
    </row>
    <row r="93" spans="65:75" x14ac:dyDescent="0.25">
      <c r="BM93" t="str">
        <f t="shared" si="15"/>
        <v/>
      </c>
      <c r="BN93" s="176">
        <v>7</v>
      </c>
      <c r="BO93" s="176">
        <v>6</v>
      </c>
      <c r="BU93" s="3">
        <v>8.5</v>
      </c>
      <c r="BV93" s="3">
        <v>8.5</v>
      </c>
      <c r="BW93" s="3">
        <v>9</v>
      </c>
    </row>
    <row r="94" spans="65:75" x14ac:dyDescent="0.25">
      <c r="BM94" t="str">
        <f t="shared" si="15"/>
        <v/>
      </c>
      <c r="BN94" s="176">
        <v>7</v>
      </c>
      <c r="BO94" s="176">
        <v>7</v>
      </c>
      <c r="BU94" s="3">
        <v>8.5</v>
      </c>
      <c r="BV94" s="3">
        <v>8.5</v>
      </c>
      <c r="BW94" s="3">
        <v>9</v>
      </c>
    </row>
    <row r="95" spans="65:75" x14ac:dyDescent="0.25">
      <c r="BM95" t="str">
        <f t="shared" si="15"/>
        <v/>
      </c>
      <c r="BN95" s="176">
        <v>7</v>
      </c>
      <c r="BO95" s="176">
        <v>8</v>
      </c>
      <c r="BU95" s="3">
        <v>8.5</v>
      </c>
      <c r="BV95" s="3">
        <v>8.5</v>
      </c>
      <c r="BW95" s="3">
        <v>9</v>
      </c>
    </row>
    <row r="96" spans="65:75" x14ac:dyDescent="0.25">
      <c r="BM96" t="str">
        <f t="shared" si="15"/>
        <v/>
      </c>
      <c r="BN96" s="176">
        <v>7</v>
      </c>
      <c r="BO96" s="176">
        <v>9</v>
      </c>
      <c r="BU96" s="3">
        <v>8.5</v>
      </c>
      <c r="BV96" s="3">
        <v>8.5</v>
      </c>
      <c r="BW96" s="3">
        <v>9</v>
      </c>
    </row>
    <row r="97" spans="65:83" x14ac:dyDescent="0.25">
      <c r="BM97" t="str">
        <f t="shared" si="15"/>
        <v/>
      </c>
      <c r="BN97" s="176">
        <v>7</v>
      </c>
      <c r="BO97" s="176">
        <v>10</v>
      </c>
      <c r="BU97" s="3">
        <v>8.5</v>
      </c>
      <c r="BV97" s="3">
        <v>8.5</v>
      </c>
      <c r="BW97" s="3">
        <v>9</v>
      </c>
    </row>
    <row r="98" spans="65:83" x14ac:dyDescent="0.25">
      <c r="BM98" t="str">
        <f t="shared" si="15"/>
        <v/>
      </c>
      <c r="BN98" s="176">
        <v>8</v>
      </c>
      <c r="BO98" s="176">
        <v>0</v>
      </c>
      <c r="BS98" s="3">
        <v>6</v>
      </c>
      <c r="BT98" s="3">
        <v>7</v>
      </c>
      <c r="BU98" s="3">
        <v>8.5</v>
      </c>
      <c r="BV98" s="3">
        <v>8.5</v>
      </c>
      <c r="BW98" s="3">
        <v>9</v>
      </c>
    </row>
    <row r="99" spans="65:83" x14ac:dyDescent="0.25">
      <c r="BM99" t="str">
        <f t="shared" si="15"/>
        <v/>
      </c>
      <c r="BN99" s="176">
        <v>8</v>
      </c>
      <c r="BO99" s="176">
        <v>1</v>
      </c>
      <c r="BT99" s="3">
        <v>7</v>
      </c>
      <c r="BU99" s="3">
        <v>8.5</v>
      </c>
      <c r="BV99" s="3">
        <v>8.5</v>
      </c>
      <c r="BW99" s="3">
        <v>9</v>
      </c>
    </row>
    <row r="100" spans="65:83" x14ac:dyDescent="0.25">
      <c r="BM100" t="str">
        <f t="shared" si="15"/>
        <v/>
      </c>
      <c r="BN100" s="176">
        <v>8</v>
      </c>
      <c r="BO100" s="176">
        <v>2</v>
      </c>
      <c r="BU100" s="3">
        <v>8.5</v>
      </c>
      <c r="BV100" s="3">
        <v>8.5</v>
      </c>
      <c r="BW100" s="3">
        <v>9</v>
      </c>
    </row>
    <row r="101" spans="65:83" x14ac:dyDescent="0.25">
      <c r="BM101" t="str">
        <f t="shared" si="15"/>
        <v/>
      </c>
      <c r="BN101" s="176">
        <v>8</v>
      </c>
      <c r="BO101" s="176">
        <v>3</v>
      </c>
      <c r="BU101" s="3">
        <v>8.5</v>
      </c>
      <c r="BV101" s="3">
        <v>8.5</v>
      </c>
      <c r="BW101" s="3">
        <v>9</v>
      </c>
    </row>
    <row r="102" spans="65:83" x14ac:dyDescent="0.25">
      <c r="BM102" t="str">
        <f t="shared" si="15"/>
        <v/>
      </c>
      <c r="BN102" s="176">
        <v>8</v>
      </c>
      <c r="BO102" s="176">
        <v>4</v>
      </c>
      <c r="BU102" s="3">
        <v>8.5</v>
      </c>
      <c r="BV102" s="3">
        <v>8.5</v>
      </c>
      <c r="BW102" s="3">
        <v>9</v>
      </c>
    </row>
    <row r="103" spans="65:83" x14ac:dyDescent="0.25">
      <c r="BM103" t="str">
        <f t="shared" si="15"/>
        <v/>
      </c>
      <c r="BN103" s="176">
        <v>8</v>
      </c>
      <c r="BO103" s="176">
        <v>5</v>
      </c>
      <c r="BU103" s="3">
        <v>8.5</v>
      </c>
      <c r="BV103" s="3">
        <v>8.5</v>
      </c>
      <c r="BW103" s="3">
        <v>9</v>
      </c>
    </row>
    <row r="104" spans="65:83" x14ac:dyDescent="0.25">
      <c r="BM104" t="str">
        <f t="shared" si="15"/>
        <v/>
      </c>
      <c r="BN104" s="176">
        <v>8</v>
      </c>
      <c r="BO104" s="176">
        <v>6</v>
      </c>
      <c r="BU104" s="3">
        <v>8.5</v>
      </c>
      <c r="BV104" s="3">
        <v>8.5</v>
      </c>
      <c r="BW104" s="3">
        <v>9</v>
      </c>
    </row>
    <row r="105" spans="65:83" x14ac:dyDescent="0.25">
      <c r="BM105" t="str">
        <f t="shared" si="15"/>
        <v/>
      </c>
      <c r="BN105" s="176">
        <v>8</v>
      </c>
      <c r="BO105" s="176">
        <v>7</v>
      </c>
      <c r="BU105" s="3">
        <v>8.5</v>
      </c>
      <c r="BV105" s="3">
        <v>8.5</v>
      </c>
      <c r="BW105" s="3">
        <v>9</v>
      </c>
    </row>
    <row r="106" spans="65:83" x14ac:dyDescent="0.25">
      <c r="BM106" t="str">
        <f t="shared" si="15"/>
        <v/>
      </c>
      <c r="BN106" s="176">
        <v>8</v>
      </c>
      <c r="BO106" s="176">
        <v>8</v>
      </c>
      <c r="BU106" s="3">
        <v>8.5</v>
      </c>
      <c r="BV106" s="3">
        <v>8.5</v>
      </c>
      <c r="BW106" s="3">
        <v>9</v>
      </c>
    </row>
    <row r="107" spans="65:83" x14ac:dyDescent="0.25">
      <c r="BM107" t="str">
        <f t="shared" si="15"/>
        <v/>
      </c>
      <c r="BN107" s="176">
        <v>8</v>
      </c>
      <c r="BO107" s="176">
        <v>9</v>
      </c>
      <c r="BU107" s="3">
        <v>8.5</v>
      </c>
      <c r="BV107" s="3">
        <v>8.5</v>
      </c>
      <c r="BW107" s="3">
        <v>9</v>
      </c>
    </row>
    <row r="108" spans="65:83" x14ac:dyDescent="0.25">
      <c r="BM108" t="str">
        <f t="shared" si="15"/>
        <v/>
      </c>
      <c r="BN108" s="176">
        <v>8</v>
      </c>
      <c r="BO108" s="176">
        <v>10</v>
      </c>
      <c r="BU108" s="3">
        <v>8.5</v>
      </c>
      <c r="BV108" s="3">
        <v>8.5</v>
      </c>
      <c r="BW108" s="3">
        <v>9</v>
      </c>
    </row>
    <row r="109" spans="65:83" x14ac:dyDescent="0.25">
      <c r="BM109" t="str">
        <f t="shared" si="15"/>
        <v/>
      </c>
      <c r="BN109" s="176">
        <v>9</v>
      </c>
      <c r="BO109" s="176">
        <v>0</v>
      </c>
      <c r="BT109" s="3">
        <v>7</v>
      </c>
      <c r="BU109" s="3">
        <v>8.5</v>
      </c>
      <c r="BV109" s="3">
        <v>9</v>
      </c>
      <c r="BW109" s="3">
        <v>9.5</v>
      </c>
      <c r="BX109" s="3">
        <v>10</v>
      </c>
      <c r="BY109" s="3">
        <v>10</v>
      </c>
      <c r="BZ109" s="3">
        <v>10</v>
      </c>
      <c r="CA109" s="3">
        <v>10</v>
      </c>
      <c r="CB109" s="3">
        <v>10</v>
      </c>
      <c r="CC109" s="3">
        <v>10</v>
      </c>
      <c r="CD109" s="3">
        <v>10</v>
      </c>
      <c r="CE109" s="191">
        <v>10</v>
      </c>
    </row>
    <row r="110" spans="65:83" x14ac:dyDescent="0.25">
      <c r="BM110" t="str">
        <f t="shared" si="15"/>
        <v/>
      </c>
      <c r="BN110" s="176">
        <v>9</v>
      </c>
      <c r="BO110" s="176">
        <v>1</v>
      </c>
      <c r="BU110" s="3">
        <v>9</v>
      </c>
      <c r="BV110" s="3">
        <v>9</v>
      </c>
      <c r="BW110" s="3">
        <v>9.5</v>
      </c>
      <c r="BX110" s="3">
        <v>10</v>
      </c>
      <c r="BY110" s="3">
        <v>10</v>
      </c>
      <c r="BZ110" s="3">
        <v>10</v>
      </c>
      <c r="CA110" s="3">
        <v>10</v>
      </c>
      <c r="CB110" s="3">
        <v>10</v>
      </c>
      <c r="CC110" s="3">
        <v>10</v>
      </c>
      <c r="CD110" s="3">
        <v>10</v>
      </c>
      <c r="CE110" s="191">
        <v>10</v>
      </c>
    </row>
    <row r="111" spans="65:83" x14ac:dyDescent="0.25">
      <c r="BM111" t="str">
        <f t="shared" si="15"/>
        <v/>
      </c>
      <c r="BN111" s="176">
        <v>9</v>
      </c>
      <c r="BO111" s="176">
        <v>2</v>
      </c>
      <c r="BU111" s="3">
        <v>9</v>
      </c>
      <c r="BV111" s="3">
        <v>9</v>
      </c>
      <c r="BW111" s="3">
        <v>9.5</v>
      </c>
      <c r="BX111" s="3">
        <v>10</v>
      </c>
      <c r="BY111" s="3">
        <v>10</v>
      </c>
      <c r="BZ111" s="3">
        <v>10</v>
      </c>
      <c r="CA111" s="3">
        <v>10</v>
      </c>
      <c r="CB111" s="3">
        <v>10</v>
      </c>
      <c r="CC111" s="3">
        <v>10</v>
      </c>
      <c r="CD111" s="3">
        <v>10</v>
      </c>
      <c r="CE111" s="191">
        <v>10</v>
      </c>
    </row>
    <row r="112" spans="65:83" x14ac:dyDescent="0.25">
      <c r="BM112" t="str">
        <f t="shared" si="15"/>
        <v/>
      </c>
      <c r="BN112" s="176">
        <v>9</v>
      </c>
      <c r="BO112" s="176">
        <v>3</v>
      </c>
      <c r="BU112" s="3">
        <v>9</v>
      </c>
      <c r="BV112" s="3">
        <v>9</v>
      </c>
      <c r="BW112" s="3">
        <v>9.5</v>
      </c>
      <c r="BX112" s="3">
        <v>10</v>
      </c>
      <c r="BY112" s="3">
        <v>10</v>
      </c>
      <c r="BZ112" s="3">
        <v>10</v>
      </c>
      <c r="CA112" s="3">
        <v>10</v>
      </c>
      <c r="CB112" s="3">
        <v>10</v>
      </c>
      <c r="CC112" s="3">
        <v>10</v>
      </c>
      <c r="CD112" s="3">
        <v>10</v>
      </c>
      <c r="CE112" s="191">
        <v>10</v>
      </c>
    </row>
    <row r="113" spans="65:83" x14ac:dyDescent="0.25">
      <c r="BM113" t="str">
        <f t="shared" si="15"/>
        <v/>
      </c>
      <c r="BN113" s="176">
        <v>9</v>
      </c>
      <c r="BO113" s="176">
        <v>4</v>
      </c>
      <c r="BU113" s="3">
        <v>9</v>
      </c>
      <c r="BV113" s="3">
        <v>9</v>
      </c>
      <c r="BW113" s="3">
        <v>9.5</v>
      </c>
      <c r="BX113" s="3">
        <v>10</v>
      </c>
      <c r="BY113" s="3">
        <v>10</v>
      </c>
      <c r="BZ113" s="3">
        <v>10</v>
      </c>
      <c r="CA113" s="3">
        <v>10</v>
      </c>
      <c r="CB113" s="3">
        <v>10</v>
      </c>
      <c r="CC113" s="3">
        <v>10</v>
      </c>
      <c r="CD113" s="3">
        <v>10</v>
      </c>
      <c r="CE113" s="191">
        <v>10</v>
      </c>
    </row>
    <row r="114" spans="65:83" x14ac:dyDescent="0.25">
      <c r="BM114" t="str">
        <f t="shared" si="15"/>
        <v/>
      </c>
      <c r="BN114" s="176">
        <v>9</v>
      </c>
      <c r="BO114" s="176">
        <v>5</v>
      </c>
      <c r="BU114" s="3">
        <v>9</v>
      </c>
      <c r="BV114" s="3">
        <v>9</v>
      </c>
      <c r="BW114" s="3">
        <v>9.5</v>
      </c>
      <c r="BX114" s="3">
        <v>10</v>
      </c>
      <c r="BY114" s="3">
        <v>10</v>
      </c>
      <c r="BZ114" s="3">
        <v>10</v>
      </c>
      <c r="CA114" s="3">
        <v>10</v>
      </c>
      <c r="CB114" s="3">
        <v>10</v>
      </c>
      <c r="CC114" s="3">
        <v>10</v>
      </c>
      <c r="CD114" s="3">
        <v>10</v>
      </c>
      <c r="CE114" s="191">
        <v>10</v>
      </c>
    </row>
    <row r="115" spans="65:83" x14ac:dyDescent="0.25">
      <c r="BM115" t="str">
        <f t="shared" si="15"/>
        <v/>
      </c>
      <c r="BN115" s="176">
        <v>9</v>
      </c>
      <c r="BO115" s="176">
        <v>6</v>
      </c>
      <c r="BU115" s="3">
        <v>9</v>
      </c>
      <c r="BV115" s="3">
        <v>9</v>
      </c>
      <c r="BW115" s="3">
        <v>9.5</v>
      </c>
      <c r="BX115" s="3">
        <v>10</v>
      </c>
      <c r="BY115" s="3">
        <v>10</v>
      </c>
      <c r="BZ115" s="3">
        <v>10</v>
      </c>
      <c r="CA115" s="3">
        <v>10</v>
      </c>
      <c r="CB115" s="3">
        <v>10</v>
      </c>
      <c r="CC115" s="3">
        <v>10</v>
      </c>
      <c r="CD115" s="3">
        <v>10</v>
      </c>
      <c r="CE115" s="191">
        <v>10</v>
      </c>
    </row>
    <row r="116" spans="65:83" x14ac:dyDescent="0.25">
      <c r="BM116" t="str">
        <f t="shared" si="15"/>
        <v/>
      </c>
      <c r="BN116" s="176">
        <v>9</v>
      </c>
      <c r="BO116" s="176">
        <v>7</v>
      </c>
      <c r="BU116" s="3">
        <v>9</v>
      </c>
      <c r="BV116" s="3">
        <v>9</v>
      </c>
      <c r="BW116" s="3">
        <v>9.5</v>
      </c>
      <c r="BX116" s="3">
        <v>10</v>
      </c>
      <c r="BY116" s="3">
        <v>10</v>
      </c>
      <c r="BZ116" s="3">
        <v>10</v>
      </c>
      <c r="CA116" s="3">
        <v>10</v>
      </c>
      <c r="CB116" s="3">
        <v>10</v>
      </c>
      <c r="CC116" s="3">
        <v>10</v>
      </c>
      <c r="CD116" s="3">
        <v>10</v>
      </c>
      <c r="CE116" s="191">
        <v>10</v>
      </c>
    </row>
    <row r="117" spans="65:83" x14ac:dyDescent="0.25">
      <c r="BM117" t="str">
        <f t="shared" si="15"/>
        <v/>
      </c>
      <c r="BN117" s="176">
        <v>9</v>
      </c>
      <c r="BO117" s="176">
        <v>8</v>
      </c>
      <c r="BU117" s="3">
        <v>9</v>
      </c>
      <c r="BV117" s="3">
        <v>9</v>
      </c>
      <c r="BW117" s="3">
        <v>9.5</v>
      </c>
      <c r="BX117" s="3">
        <v>10</v>
      </c>
      <c r="BY117" s="3">
        <v>10</v>
      </c>
      <c r="BZ117" s="3">
        <v>10</v>
      </c>
      <c r="CA117" s="3">
        <v>10</v>
      </c>
      <c r="CB117" s="3">
        <v>10</v>
      </c>
      <c r="CC117" s="3">
        <v>10</v>
      </c>
      <c r="CD117" s="3">
        <v>10</v>
      </c>
      <c r="CE117" s="191">
        <v>10</v>
      </c>
    </row>
    <row r="118" spans="65:83" x14ac:dyDescent="0.25">
      <c r="BM118" t="str">
        <f t="shared" si="15"/>
        <v/>
      </c>
      <c r="BN118" s="176">
        <v>9</v>
      </c>
      <c r="BO118" s="176">
        <v>9</v>
      </c>
      <c r="BU118" s="3">
        <v>9</v>
      </c>
      <c r="BV118" s="3">
        <v>9</v>
      </c>
      <c r="BW118" s="3">
        <v>9.5</v>
      </c>
      <c r="BX118" s="3">
        <v>10</v>
      </c>
      <c r="BY118" s="3">
        <v>10</v>
      </c>
      <c r="BZ118" s="3">
        <v>10</v>
      </c>
      <c r="CA118" s="3">
        <v>10</v>
      </c>
      <c r="CB118" s="3">
        <v>10</v>
      </c>
      <c r="CC118" s="3">
        <v>10</v>
      </c>
      <c r="CD118" s="3">
        <v>10</v>
      </c>
      <c r="CE118" s="191">
        <v>10</v>
      </c>
    </row>
    <row r="119" spans="65:83" x14ac:dyDescent="0.25">
      <c r="BM119" t="str">
        <f t="shared" si="15"/>
        <v/>
      </c>
      <c r="BN119" s="176">
        <v>9</v>
      </c>
      <c r="BO119" s="176">
        <v>10</v>
      </c>
      <c r="BU119" s="3">
        <v>9</v>
      </c>
      <c r="BV119" s="3">
        <v>9</v>
      </c>
      <c r="BW119" s="3">
        <v>9.5</v>
      </c>
      <c r="BX119" s="3">
        <v>10</v>
      </c>
      <c r="BY119" s="3">
        <v>10</v>
      </c>
      <c r="BZ119" s="3">
        <v>10</v>
      </c>
      <c r="CA119" s="3">
        <v>10</v>
      </c>
      <c r="CB119" s="3">
        <v>10</v>
      </c>
      <c r="CC119" s="3">
        <v>10</v>
      </c>
      <c r="CD119" s="3">
        <v>10</v>
      </c>
      <c r="CE119" s="191">
        <v>10</v>
      </c>
    </row>
    <row r="120" spans="65:83" x14ac:dyDescent="0.25">
      <c r="BM120" t="str">
        <f t="shared" si="15"/>
        <v/>
      </c>
      <c r="BN120" s="176">
        <v>10</v>
      </c>
      <c r="BO120" s="176">
        <v>0</v>
      </c>
      <c r="BU120" s="3">
        <v>9</v>
      </c>
      <c r="BV120" s="3">
        <v>9</v>
      </c>
      <c r="BW120" s="3">
        <v>9.5</v>
      </c>
      <c r="BX120" s="3">
        <v>10</v>
      </c>
      <c r="BY120" s="3">
        <v>10</v>
      </c>
      <c r="BZ120" s="3">
        <v>10</v>
      </c>
      <c r="CA120" s="3">
        <v>10</v>
      </c>
      <c r="CB120" s="3">
        <v>10</v>
      </c>
      <c r="CC120" s="3">
        <v>10</v>
      </c>
      <c r="CD120" s="3">
        <v>10</v>
      </c>
      <c r="CE120" s="191">
        <v>10</v>
      </c>
    </row>
    <row r="121" spans="65:83" x14ac:dyDescent="0.25">
      <c r="BM121" t="str">
        <f t="shared" si="15"/>
        <v/>
      </c>
      <c r="BN121" s="176">
        <v>10</v>
      </c>
      <c r="BO121" s="176">
        <v>1</v>
      </c>
      <c r="BU121" s="3">
        <v>9</v>
      </c>
      <c r="BV121" s="3">
        <v>9</v>
      </c>
      <c r="BW121" s="3">
        <v>9.5</v>
      </c>
      <c r="BX121" s="3">
        <v>10</v>
      </c>
      <c r="BY121" s="3">
        <v>10</v>
      </c>
      <c r="BZ121" s="3">
        <v>10</v>
      </c>
      <c r="CA121" s="3">
        <v>10</v>
      </c>
      <c r="CB121" s="3">
        <v>10</v>
      </c>
      <c r="CC121" s="3">
        <v>10</v>
      </c>
      <c r="CD121" s="3">
        <v>10</v>
      </c>
      <c r="CE121" s="191">
        <v>10</v>
      </c>
    </row>
    <row r="122" spans="65:83" x14ac:dyDescent="0.25">
      <c r="BM122" t="str">
        <f t="shared" si="15"/>
        <v/>
      </c>
      <c r="BN122" s="176">
        <v>10</v>
      </c>
      <c r="BO122" s="176">
        <v>2</v>
      </c>
      <c r="BU122" s="3">
        <v>9</v>
      </c>
      <c r="BV122" s="3">
        <v>9</v>
      </c>
      <c r="BW122" s="3">
        <v>9.5</v>
      </c>
      <c r="BX122" s="3">
        <v>10</v>
      </c>
      <c r="BY122" s="3">
        <v>10</v>
      </c>
      <c r="BZ122" s="3">
        <v>10</v>
      </c>
      <c r="CA122" s="3">
        <v>10</v>
      </c>
      <c r="CB122" s="3">
        <v>10</v>
      </c>
      <c r="CC122" s="3">
        <v>10</v>
      </c>
      <c r="CD122" s="3">
        <v>10</v>
      </c>
      <c r="CE122" s="191">
        <v>10</v>
      </c>
    </row>
    <row r="123" spans="65:83" x14ac:dyDescent="0.25">
      <c r="BM123" t="str">
        <f t="shared" si="15"/>
        <v/>
      </c>
      <c r="BN123" s="176">
        <v>10</v>
      </c>
      <c r="BO123" s="176">
        <v>3</v>
      </c>
      <c r="BU123" s="3">
        <v>9</v>
      </c>
      <c r="BV123" s="3">
        <v>9</v>
      </c>
      <c r="BW123" s="3">
        <v>9.5</v>
      </c>
      <c r="BX123" s="3">
        <v>10</v>
      </c>
      <c r="BY123" s="3">
        <v>10</v>
      </c>
      <c r="BZ123" s="3">
        <v>10</v>
      </c>
      <c r="CA123" s="3">
        <v>10</v>
      </c>
      <c r="CB123" s="3">
        <v>10</v>
      </c>
      <c r="CC123" s="3">
        <v>10</v>
      </c>
      <c r="CD123" s="3">
        <v>10</v>
      </c>
      <c r="CE123" s="191">
        <v>10</v>
      </c>
    </row>
    <row r="124" spans="65:83" x14ac:dyDescent="0.25">
      <c r="BM124" t="str">
        <f t="shared" si="15"/>
        <v/>
      </c>
      <c r="BN124" s="176">
        <v>10</v>
      </c>
      <c r="BO124" s="176">
        <v>4</v>
      </c>
      <c r="BU124" s="3">
        <v>9</v>
      </c>
      <c r="BV124" s="3">
        <v>9</v>
      </c>
      <c r="BW124" s="3">
        <v>9.5</v>
      </c>
      <c r="BX124" s="3">
        <v>10</v>
      </c>
      <c r="BY124" s="3">
        <v>10</v>
      </c>
      <c r="BZ124" s="3">
        <v>10</v>
      </c>
      <c r="CA124" s="3">
        <v>10</v>
      </c>
      <c r="CB124" s="3">
        <v>10</v>
      </c>
      <c r="CC124" s="3">
        <v>10</v>
      </c>
      <c r="CD124" s="3">
        <v>10</v>
      </c>
      <c r="CE124" s="191">
        <v>10</v>
      </c>
    </row>
    <row r="125" spans="65:83" x14ac:dyDescent="0.25">
      <c r="BM125" t="str">
        <f t="shared" si="15"/>
        <v/>
      </c>
      <c r="BN125" s="176">
        <v>10</v>
      </c>
      <c r="BO125" s="176">
        <v>5</v>
      </c>
      <c r="BU125" s="3">
        <v>9</v>
      </c>
      <c r="BV125" s="3">
        <v>9</v>
      </c>
      <c r="BW125" s="3">
        <v>9.5</v>
      </c>
      <c r="BX125" s="3">
        <v>10</v>
      </c>
      <c r="BY125" s="3">
        <v>10</v>
      </c>
      <c r="BZ125" s="3">
        <v>10</v>
      </c>
      <c r="CA125" s="3">
        <v>10</v>
      </c>
      <c r="CB125" s="3">
        <v>10</v>
      </c>
      <c r="CC125" s="3">
        <v>10</v>
      </c>
      <c r="CD125" s="3">
        <v>10</v>
      </c>
      <c r="CE125" s="191">
        <v>10</v>
      </c>
    </row>
    <row r="126" spans="65:83" x14ac:dyDescent="0.25">
      <c r="BM126" t="str">
        <f t="shared" si="15"/>
        <v/>
      </c>
      <c r="BN126" s="176">
        <v>10</v>
      </c>
      <c r="BO126" s="176">
        <v>6</v>
      </c>
      <c r="BU126" s="3">
        <v>9</v>
      </c>
      <c r="BV126" s="3">
        <v>9</v>
      </c>
      <c r="BW126" s="3">
        <v>9.5</v>
      </c>
      <c r="BX126" s="3">
        <v>10</v>
      </c>
      <c r="BY126" s="3">
        <v>10</v>
      </c>
      <c r="BZ126" s="3">
        <v>10</v>
      </c>
      <c r="CA126" s="3">
        <v>10</v>
      </c>
      <c r="CB126" s="3">
        <v>10</v>
      </c>
      <c r="CC126" s="3">
        <v>10</v>
      </c>
      <c r="CD126" s="3">
        <v>10</v>
      </c>
      <c r="CE126" s="191">
        <v>10</v>
      </c>
    </row>
    <row r="127" spans="65:83" x14ac:dyDescent="0.25">
      <c r="BM127" t="str">
        <f t="shared" si="15"/>
        <v/>
      </c>
      <c r="BN127" s="176">
        <v>10</v>
      </c>
      <c r="BO127" s="176">
        <v>7</v>
      </c>
      <c r="BU127" s="3">
        <v>9</v>
      </c>
      <c r="BV127" s="3">
        <v>9</v>
      </c>
      <c r="BW127" s="3">
        <v>9.5</v>
      </c>
      <c r="BX127" s="3">
        <v>10</v>
      </c>
      <c r="BY127" s="3">
        <v>10</v>
      </c>
      <c r="BZ127" s="3">
        <v>10</v>
      </c>
      <c r="CA127" s="3">
        <v>10</v>
      </c>
      <c r="CB127" s="3">
        <v>10</v>
      </c>
      <c r="CC127" s="3">
        <v>10</v>
      </c>
      <c r="CD127" s="3">
        <v>10</v>
      </c>
      <c r="CE127" s="191">
        <v>10</v>
      </c>
    </row>
    <row r="128" spans="65:83" x14ac:dyDescent="0.25">
      <c r="BM128" t="str">
        <f t="shared" si="15"/>
        <v/>
      </c>
      <c r="BN128" s="176">
        <v>10</v>
      </c>
      <c r="BO128" s="176">
        <v>8</v>
      </c>
      <c r="BU128" s="3">
        <v>9</v>
      </c>
      <c r="BV128" s="3">
        <v>9</v>
      </c>
      <c r="BW128" s="3">
        <v>9.5</v>
      </c>
      <c r="BX128" s="3">
        <v>10</v>
      </c>
      <c r="BY128" s="3">
        <v>10</v>
      </c>
      <c r="BZ128" s="3">
        <v>10</v>
      </c>
      <c r="CA128" s="3">
        <v>10</v>
      </c>
      <c r="CB128" s="3">
        <v>10</v>
      </c>
      <c r="CC128" s="3">
        <v>10</v>
      </c>
      <c r="CD128" s="3">
        <v>10</v>
      </c>
      <c r="CE128" s="191">
        <v>10</v>
      </c>
    </row>
    <row r="129" spans="65:83" x14ac:dyDescent="0.25">
      <c r="BM129" t="str">
        <f t="shared" si="15"/>
        <v/>
      </c>
      <c r="BN129" s="176">
        <v>10</v>
      </c>
      <c r="BO129" s="176">
        <v>9</v>
      </c>
      <c r="BU129" s="3">
        <v>9</v>
      </c>
      <c r="BV129" s="3">
        <v>9</v>
      </c>
      <c r="BW129" s="3">
        <v>9.5</v>
      </c>
      <c r="BX129" s="3">
        <v>10</v>
      </c>
      <c r="BY129" s="3">
        <v>10</v>
      </c>
      <c r="BZ129" s="3">
        <v>10</v>
      </c>
      <c r="CA129" s="3">
        <v>10</v>
      </c>
      <c r="CB129" s="3">
        <v>10</v>
      </c>
      <c r="CC129" s="3">
        <v>10</v>
      </c>
      <c r="CD129" s="3">
        <v>10</v>
      </c>
      <c r="CE129" s="191">
        <v>10</v>
      </c>
    </row>
    <row r="130" spans="65:83" x14ac:dyDescent="0.25">
      <c r="BM130" t="str">
        <f t="shared" si="15"/>
        <v/>
      </c>
      <c r="BN130" s="176">
        <v>10</v>
      </c>
      <c r="BO130" s="176">
        <v>10</v>
      </c>
      <c r="BU130" s="3">
        <v>9</v>
      </c>
      <c r="BV130" s="3">
        <v>9</v>
      </c>
      <c r="BW130" s="3">
        <v>9.5</v>
      </c>
      <c r="BX130" s="3">
        <v>10</v>
      </c>
      <c r="BY130" s="3">
        <v>10</v>
      </c>
      <c r="BZ130" s="3">
        <v>10</v>
      </c>
      <c r="CA130" s="3">
        <v>10</v>
      </c>
      <c r="CB130" s="3">
        <v>10</v>
      </c>
      <c r="CC130" s="3">
        <v>10</v>
      </c>
      <c r="CD130" s="3">
        <v>10</v>
      </c>
      <c r="CE130" s="191">
        <v>10</v>
      </c>
    </row>
    <row r="131" spans="65:83" x14ac:dyDescent="0.25">
      <c r="BM131" t="str">
        <f t="shared" si="15"/>
        <v/>
      </c>
      <c r="BN131" s="176">
        <v>11</v>
      </c>
      <c r="BO131" s="176">
        <v>0</v>
      </c>
      <c r="BV131" s="3">
        <v>9.5</v>
      </c>
      <c r="BW131" s="3">
        <v>10</v>
      </c>
      <c r="BX131" s="3">
        <v>10</v>
      </c>
      <c r="BY131" s="3">
        <v>10</v>
      </c>
      <c r="BZ131" s="3">
        <v>10</v>
      </c>
      <c r="CA131" s="3">
        <v>10</v>
      </c>
      <c r="CB131" s="3">
        <v>10</v>
      </c>
      <c r="CC131" s="3">
        <v>10</v>
      </c>
      <c r="CD131" s="3">
        <v>10</v>
      </c>
      <c r="CE131" s="191">
        <v>10</v>
      </c>
    </row>
    <row r="132" spans="65:83" x14ac:dyDescent="0.25">
      <c r="BM132" t="str">
        <f t="shared" si="15"/>
        <v/>
      </c>
      <c r="BN132" s="176">
        <v>11</v>
      </c>
      <c r="BO132" s="176">
        <v>1</v>
      </c>
      <c r="BV132" s="3">
        <v>9.5</v>
      </c>
      <c r="BW132" s="3">
        <v>10</v>
      </c>
      <c r="BX132" s="3">
        <v>10</v>
      </c>
      <c r="BY132" s="3">
        <v>10</v>
      </c>
      <c r="BZ132" s="3">
        <v>10</v>
      </c>
      <c r="CA132" s="3">
        <v>10</v>
      </c>
      <c r="CB132" s="3">
        <v>10</v>
      </c>
      <c r="CC132" s="3">
        <v>10</v>
      </c>
      <c r="CD132" s="3">
        <v>10</v>
      </c>
      <c r="CE132" s="191">
        <v>10</v>
      </c>
    </row>
    <row r="133" spans="65:83" x14ac:dyDescent="0.25">
      <c r="BM133" t="str">
        <f t="shared" si="15"/>
        <v/>
      </c>
      <c r="BN133" s="176">
        <v>11</v>
      </c>
      <c r="BO133" s="176">
        <v>2</v>
      </c>
      <c r="BV133" s="3">
        <v>9.5</v>
      </c>
      <c r="BW133" s="3">
        <v>10</v>
      </c>
      <c r="BX133" s="3">
        <v>10</v>
      </c>
      <c r="BY133" s="3">
        <v>10</v>
      </c>
      <c r="BZ133" s="3">
        <v>10</v>
      </c>
      <c r="CA133" s="3">
        <v>10</v>
      </c>
      <c r="CB133" s="3">
        <v>10</v>
      </c>
      <c r="CC133" s="3">
        <v>10</v>
      </c>
      <c r="CD133" s="3">
        <v>10</v>
      </c>
      <c r="CE133" s="191">
        <v>10</v>
      </c>
    </row>
    <row r="134" spans="65:83" x14ac:dyDescent="0.25">
      <c r="BM134" t="str">
        <f t="shared" si="15"/>
        <v/>
      </c>
      <c r="BN134" s="176">
        <v>11</v>
      </c>
      <c r="BO134" s="176">
        <v>3</v>
      </c>
      <c r="BV134" s="3">
        <v>9.5</v>
      </c>
      <c r="BW134" s="3">
        <v>10</v>
      </c>
      <c r="BX134" s="3">
        <v>10</v>
      </c>
      <c r="BY134" s="3">
        <v>10</v>
      </c>
      <c r="BZ134" s="3">
        <v>10</v>
      </c>
      <c r="CA134" s="3">
        <v>10</v>
      </c>
      <c r="CB134" s="3">
        <v>10</v>
      </c>
      <c r="CC134" s="3">
        <v>10</v>
      </c>
      <c r="CD134" s="3">
        <v>10</v>
      </c>
      <c r="CE134" s="191">
        <v>10</v>
      </c>
    </row>
    <row r="135" spans="65:83" x14ac:dyDescent="0.25">
      <c r="BM135" t="str">
        <f t="shared" si="15"/>
        <v/>
      </c>
      <c r="BN135" s="176">
        <v>11</v>
      </c>
      <c r="BO135" s="176">
        <v>4</v>
      </c>
      <c r="BV135" s="3">
        <v>9.5</v>
      </c>
      <c r="BW135" s="3">
        <v>10</v>
      </c>
      <c r="BX135" s="3">
        <v>10</v>
      </c>
      <c r="BY135" s="3">
        <v>10</v>
      </c>
      <c r="BZ135" s="3">
        <v>10</v>
      </c>
      <c r="CA135" s="3">
        <v>10</v>
      </c>
      <c r="CB135" s="3">
        <v>10</v>
      </c>
      <c r="CC135" s="3">
        <v>10</v>
      </c>
      <c r="CD135" s="3">
        <v>10</v>
      </c>
      <c r="CE135" s="191">
        <v>10</v>
      </c>
    </row>
    <row r="136" spans="65:83" x14ac:dyDescent="0.25">
      <c r="BM136" t="str">
        <f t="shared" si="15"/>
        <v/>
      </c>
      <c r="BN136" s="176">
        <v>11</v>
      </c>
      <c r="BO136" s="176">
        <v>5</v>
      </c>
      <c r="BV136" s="3">
        <v>9.5</v>
      </c>
      <c r="BW136" s="3">
        <v>10</v>
      </c>
      <c r="BX136" s="3">
        <v>10</v>
      </c>
      <c r="BY136" s="3">
        <v>10</v>
      </c>
      <c r="BZ136" s="3">
        <v>10</v>
      </c>
      <c r="CA136" s="3">
        <v>10</v>
      </c>
      <c r="CB136" s="3">
        <v>10</v>
      </c>
      <c r="CC136" s="3">
        <v>10</v>
      </c>
      <c r="CD136" s="3">
        <v>10</v>
      </c>
      <c r="CE136" s="191">
        <v>10</v>
      </c>
    </row>
    <row r="137" spans="65:83" x14ac:dyDescent="0.25">
      <c r="BM137" t="str">
        <f t="shared" si="15"/>
        <v/>
      </c>
      <c r="BN137" s="176">
        <v>11</v>
      </c>
      <c r="BO137" s="176">
        <v>6</v>
      </c>
      <c r="BV137" s="3">
        <v>9.5</v>
      </c>
      <c r="BW137" s="3">
        <v>10</v>
      </c>
      <c r="BX137" s="3">
        <v>10</v>
      </c>
      <c r="BY137" s="3">
        <v>10</v>
      </c>
      <c r="BZ137" s="3">
        <v>10</v>
      </c>
      <c r="CA137" s="3">
        <v>10</v>
      </c>
      <c r="CB137" s="3">
        <v>10</v>
      </c>
      <c r="CC137" s="3">
        <v>10</v>
      </c>
      <c r="CD137" s="3">
        <v>10</v>
      </c>
      <c r="CE137" s="191">
        <v>10</v>
      </c>
    </row>
    <row r="138" spans="65:83" x14ac:dyDescent="0.25">
      <c r="BM138" t="str">
        <f t="shared" si="15"/>
        <v/>
      </c>
      <c r="BN138" s="176">
        <v>11</v>
      </c>
      <c r="BO138" s="176">
        <v>7</v>
      </c>
      <c r="BV138" s="3">
        <v>9.5</v>
      </c>
      <c r="BW138" s="3">
        <v>10</v>
      </c>
      <c r="BX138" s="3">
        <v>10</v>
      </c>
      <c r="BY138" s="3">
        <v>10</v>
      </c>
      <c r="BZ138" s="3">
        <v>10</v>
      </c>
      <c r="CA138" s="3">
        <v>10</v>
      </c>
      <c r="CB138" s="3">
        <v>10</v>
      </c>
      <c r="CC138" s="3">
        <v>10</v>
      </c>
      <c r="CD138" s="3">
        <v>10</v>
      </c>
      <c r="CE138" s="191">
        <v>10</v>
      </c>
    </row>
    <row r="139" spans="65:83" x14ac:dyDescent="0.25">
      <c r="BM139" t="str">
        <f t="shared" ref="BM139:BM192" si="16">IF(BN139&amp;BO139=$CJ$9&amp;$CJ$10,"OK","")</f>
        <v/>
      </c>
      <c r="BN139" s="176">
        <v>11</v>
      </c>
      <c r="BO139" s="176">
        <v>8</v>
      </c>
      <c r="BV139" s="3">
        <v>9.5</v>
      </c>
      <c r="BW139" s="3">
        <v>10</v>
      </c>
      <c r="BX139" s="3">
        <v>10</v>
      </c>
      <c r="BY139" s="3">
        <v>10</v>
      </c>
      <c r="BZ139" s="3">
        <v>10</v>
      </c>
      <c r="CA139" s="3">
        <v>10</v>
      </c>
      <c r="CB139" s="3">
        <v>10</v>
      </c>
      <c r="CC139" s="3">
        <v>10</v>
      </c>
      <c r="CD139" s="3">
        <v>10</v>
      </c>
      <c r="CE139" s="191">
        <v>10</v>
      </c>
    </row>
    <row r="140" spans="65:83" x14ac:dyDescent="0.25">
      <c r="BM140" t="str">
        <f t="shared" si="16"/>
        <v/>
      </c>
      <c r="BN140" s="176">
        <v>11</v>
      </c>
      <c r="BO140" s="176">
        <v>9</v>
      </c>
      <c r="BV140" s="3">
        <v>9.5</v>
      </c>
      <c r="BW140" s="3">
        <v>10</v>
      </c>
      <c r="BX140" s="3">
        <v>10</v>
      </c>
      <c r="BY140" s="3">
        <v>10</v>
      </c>
      <c r="BZ140" s="3">
        <v>10</v>
      </c>
      <c r="CA140" s="3">
        <v>10</v>
      </c>
      <c r="CB140" s="3">
        <v>10</v>
      </c>
      <c r="CC140" s="3">
        <v>10</v>
      </c>
      <c r="CD140" s="3">
        <v>10</v>
      </c>
      <c r="CE140" s="191">
        <v>10</v>
      </c>
    </row>
    <row r="141" spans="65:83" x14ac:dyDescent="0.25">
      <c r="BM141" t="str">
        <f t="shared" si="16"/>
        <v/>
      </c>
      <c r="BN141" s="176">
        <v>11</v>
      </c>
      <c r="BO141" s="176">
        <v>10</v>
      </c>
      <c r="BV141" s="3">
        <v>9.5</v>
      </c>
      <c r="BW141" s="3">
        <v>10</v>
      </c>
      <c r="BX141" s="3">
        <v>10</v>
      </c>
      <c r="BY141" s="3">
        <v>10</v>
      </c>
      <c r="BZ141" s="3">
        <v>10</v>
      </c>
      <c r="CA141" s="3">
        <v>10</v>
      </c>
      <c r="CB141" s="3">
        <v>10</v>
      </c>
      <c r="CC141" s="3">
        <v>10</v>
      </c>
      <c r="CD141" s="3">
        <v>10</v>
      </c>
      <c r="CE141" s="191">
        <v>10</v>
      </c>
    </row>
    <row r="142" spans="65:83" x14ac:dyDescent="0.25">
      <c r="BM142" t="str">
        <f t="shared" si="16"/>
        <v/>
      </c>
      <c r="BN142" s="176">
        <v>12</v>
      </c>
      <c r="BO142" s="176">
        <v>0</v>
      </c>
      <c r="BW142" s="3">
        <v>10</v>
      </c>
      <c r="BX142" s="3">
        <v>10</v>
      </c>
      <c r="BY142" s="3">
        <v>10</v>
      </c>
      <c r="BZ142" s="3">
        <v>10</v>
      </c>
      <c r="CA142" s="3">
        <v>10</v>
      </c>
      <c r="CB142" s="3">
        <v>10</v>
      </c>
      <c r="CC142" s="3">
        <v>10</v>
      </c>
      <c r="CD142" s="3">
        <v>10</v>
      </c>
      <c r="CE142" s="191">
        <v>10</v>
      </c>
    </row>
    <row r="143" spans="65:83" x14ac:dyDescent="0.25">
      <c r="BM143" t="str">
        <f t="shared" si="16"/>
        <v/>
      </c>
      <c r="BN143" s="176">
        <v>12</v>
      </c>
      <c r="BO143" s="176">
        <v>1</v>
      </c>
      <c r="BW143" s="3">
        <v>10</v>
      </c>
      <c r="BX143" s="3">
        <v>10</v>
      </c>
      <c r="BY143" s="3">
        <v>10</v>
      </c>
      <c r="BZ143" s="3">
        <v>10</v>
      </c>
      <c r="CA143" s="3">
        <v>10</v>
      </c>
      <c r="CB143" s="3">
        <v>10</v>
      </c>
      <c r="CC143" s="3">
        <v>10</v>
      </c>
      <c r="CD143" s="3">
        <v>10</v>
      </c>
      <c r="CE143" s="191">
        <v>10</v>
      </c>
    </row>
    <row r="144" spans="65:83" x14ac:dyDescent="0.25">
      <c r="BM144" t="str">
        <f t="shared" si="16"/>
        <v/>
      </c>
      <c r="BN144" s="176">
        <v>12</v>
      </c>
      <c r="BO144" s="176">
        <v>2</v>
      </c>
      <c r="BW144" s="3">
        <v>10</v>
      </c>
      <c r="BX144" s="3">
        <v>10</v>
      </c>
      <c r="BY144" s="3">
        <v>10</v>
      </c>
      <c r="BZ144" s="3">
        <v>10</v>
      </c>
      <c r="CA144" s="3">
        <v>10</v>
      </c>
      <c r="CB144" s="3">
        <v>10</v>
      </c>
      <c r="CC144" s="3">
        <v>10</v>
      </c>
      <c r="CD144" s="3">
        <v>10</v>
      </c>
      <c r="CE144" s="191">
        <v>10</v>
      </c>
    </row>
    <row r="145" spans="65:83" x14ac:dyDescent="0.25">
      <c r="BM145" t="str">
        <f t="shared" si="16"/>
        <v/>
      </c>
      <c r="BN145" s="176">
        <v>12</v>
      </c>
      <c r="BO145" s="176">
        <v>3</v>
      </c>
      <c r="BW145" s="3">
        <v>10</v>
      </c>
      <c r="BX145" s="3">
        <v>10</v>
      </c>
      <c r="BY145" s="3">
        <v>10</v>
      </c>
      <c r="BZ145" s="3">
        <v>10</v>
      </c>
      <c r="CA145" s="3">
        <v>10</v>
      </c>
      <c r="CB145" s="3">
        <v>10</v>
      </c>
      <c r="CC145" s="3">
        <v>10</v>
      </c>
      <c r="CD145" s="3">
        <v>10</v>
      </c>
      <c r="CE145" s="191">
        <v>10</v>
      </c>
    </row>
    <row r="146" spans="65:83" x14ac:dyDescent="0.25">
      <c r="BM146" t="str">
        <f t="shared" si="16"/>
        <v/>
      </c>
      <c r="BN146" s="176">
        <v>12</v>
      </c>
      <c r="BO146" s="176">
        <v>4</v>
      </c>
      <c r="BW146" s="3">
        <v>10</v>
      </c>
      <c r="BX146" s="3">
        <v>10</v>
      </c>
      <c r="BY146" s="3">
        <v>10</v>
      </c>
      <c r="BZ146" s="3">
        <v>10</v>
      </c>
      <c r="CA146" s="3">
        <v>10</v>
      </c>
      <c r="CB146" s="3">
        <v>10</v>
      </c>
      <c r="CC146" s="3">
        <v>10</v>
      </c>
      <c r="CD146" s="3">
        <v>10</v>
      </c>
      <c r="CE146" s="191">
        <v>10</v>
      </c>
    </row>
    <row r="147" spans="65:83" x14ac:dyDescent="0.25">
      <c r="BM147" t="str">
        <f t="shared" si="16"/>
        <v/>
      </c>
      <c r="BN147" s="176">
        <v>12</v>
      </c>
      <c r="BO147" s="176">
        <v>5</v>
      </c>
      <c r="BW147" s="3">
        <v>10</v>
      </c>
      <c r="BX147" s="3">
        <v>10</v>
      </c>
      <c r="BY147" s="3">
        <v>10</v>
      </c>
      <c r="BZ147" s="3">
        <v>10</v>
      </c>
      <c r="CA147" s="3">
        <v>10</v>
      </c>
      <c r="CB147" s="3">
        <v>10</v>
      </c>
      <c r="CC147" s="3">
        <v>10</v>
      </c>
      <c r="CD147" s="3">
        <v>10</v>
      </c>
      <c r="CE147" s="191">
        <v>10</v>
      </c>
    </row>
    <row r="148" spans="65:83" x14ac:dyDescent="0.25">
      <c r="BM148" t="str">
        <f t="shared" si="16"/>
        <v/>
      </c>
      <c r="BN148" s="176">
        <v>12</v>
      </c>
      <c r="BO148" s="176">
        <v>6</v>
      </c>
      <c r="BW148" s="3">
        <v>10</v>
      </c>
      <c r="BX148" s="3">
        <v>10</v>
      </c>
      <c r="BY148" s="3">
        <v>10</v>
      </c>
      <c r="BZ148" s="3">
        <v>10</v>
      </c>
      <c r="CA148" s="3">
        <v>10</v>
      </c>
      <c r="CB148" s="3">
        <v>10</v>
      </c>
      <c r="CC148" s="3">
        <v>10</v>
      </c>
      <c r="CD148" s="3">
        <v>10</v>
      </c>
      <c r="CE148" s="191">
        <v>10</v>
      </c>
    </row>
    <row r="149" spans="65:83" x14ac:dyDescent="0.25">
      <c r="BM149" t="str">
        <f t="shared" si="16"/>
        <v/>
      </c>
      <c r="BN149" s="176">
        <v>12</v>
      </c>
      <c r="BO149" s="176">
        <v>7</v>
      </c>
      <c r="BW149" s="3">
        <v>10</v>
      </c>
      <c r="BX149" s="3">
        <v>10</v>
      </c>
      <c r="BY149" s="3">
        <v>10</v>
      </c>
      <c r="BZ149" s="3">
        <v>10</v>
      </c>
      <c r="CA149" s="3">
        <v>10</v>
      </c>
      <c r="CB149" s="3">
        <v>10</v>
      </c>
      <c r="CC149" s="3">
        <v>10</v>
      </c>
      <c r="CD149" s="3">
        <v>10</v>
      </c>
      <c r="CE149" s="191">
        <v>10</v>
      </c>
    </row>
    <row r="150" spans="65:83" x14ac:dyDescent="0.25">
      <c r="BM150" t="str">
        <f t="shared" si="16"/>
        <v/>
      </c>
      <c r="BN150" s="176">
        <v>12</v>
      </c>
      <c r="BO150" s="176">
        <v>8</v>
      </c>
      <c r="BW150" s="3">
        <v>10</v>
      </c>
      <c r="BX150" s="3">
        <v>10</v>
      </c>
      <c r="BY150" s="3">
        <v>10</v>
      </c>
      <c r="BZ150" s="3">
        <v>10</v>
      </c>
      <c r="CA150" s="3">
        <v>10</v>
      </c>
      <c r="CB150" s="3">
        <v>10</v>
      </c>
      <c r="CC150" s="3">
        <v>10</v>
      </c>
      <c r="CD150" s="3">
        <v>10</v>
      </c>
      <c r="CE150" s="191">
        <v>10</v>
      </c>
    </row>
    <row r="151" spans="65:83" x14ac:dyDescent="0.25">
      <c r="BM151" t="str">
        <f t="shared" si="16"/>
        <v/>
      </c>
      <c r="BN151" s="176">
        <v>12</v>
      </c>
      <c r="BO151" s="176">
        <v>9</v>
      </c>
      <c r="BW151" s="3">
        <v>10</v>
      </c>
      <c r="BX151" s="3">
        <v>10</v>
      </c>
      <c r="BY151" s="3">
        <v>10</v>
      </c>
      <c r="BZ151" s="3">
        <v>10</v>
      </c>
      <c r="CA151" s="3">
        <v>10</v>
      </c>
      <c r="CB151" s="3">
        <v>10</v>
      </c>
      <c r="CC151" s="3">
        <v>10</v>
      </c>
      <c r="CD151" s="3">
        <v>10</v>
      </c>
      <c r="CE151" s="191">
        <v>10</v>
      </c>
    </row>
    <row r="152" spans="65:83" x14ac:dyDescent="0.25">
      <c r="BM152" t="str">
        <f t="shared" si="16"/>
        <v/>
      </c>
      <c r="BN152" s="176">
        <v>12</v>
      </c>
      <c r="BO152" s="176">
        <v>10</v>
      </c>
      <c r="BW152" s="3">
        <v>10</v>
      </c>
      <c r="BX152" s="3">
        <v>10</v>
      </c>
      <c r="BY152" s="3">
        <v>10</v>
      </c>
      <c r="BZ152" s="3">
        <v>10</v>
      </c>
      <c r="CA152" s="3">
        <v>10</v>
      </c>
      <c r="CB152" s="3">
        <v>10</v>
      </c>
      <c r="CC152" s="3">
        <v>10</v>
      </c>
      <c r="CD152" s="3">
        <v>10</v>
      </c>
      <c r="CE152" s="191">
        <v>10</v>
      </c>
    </row>
    <row r="153" spans="65:83" x14ac:dyDescent="0.25">
      <c r="BM153" t="str">
        <f t="shared" si="16"/>
        <v/>
      </c>
      <c r="BN153" s="176">
        <v>13</v>
      </c>
      <c r="BO153" s="176">
        <v>1</v>
      </c>
      <c r="BW153" s="3">
        <v>10</v>
      </c>
      <c r="BX153" s="3">
        <v>10</v>
      </c>
      <c r="BY153" s="3">
        <v>10</v>
      </c>
      <c r="BZ153" s="3">
        <v>10</v>
      </c>
      <c r="CA153" s="3">
        <v>10</v>
      </c>
      <c r="CB153" s="3">
        <v>10</v>
      </c>
      <c r="CC153" s="3">
        <v>10</v>
      </c>
      <c r="CD153" s="3">
        <v>10</v>
      </c>
      <c r="CE153" s="191">
        <v>10</v>
      </c>
    </row>
    <row r="154" spans="65:83" x14ac:dyDescent="0.25">
      <c r="BM154" t="str">
        <f t="shared" si="16"/>
        <v/>
      </c>
      <c r="BN154" s="176">
        <v>13</v>
      </c>
      <c r="BO154" s="176">
        <v>2</v>
      </c>
      <c r="BW154" s="3">
        <v>10</v>
      </c>
      <c r="BX154" s="3">
        <v>10</v>
      </c>
      <c r="BY154" s="3">
        <v>10</v>
      </c>
      <c r="BZ154" s="3">
        <v>10</v>
      </c>
      <c r="CA154" s="3">
        <v>10</v>
      </c>
      <c r="CB154" s="3">
        <v>10</v>
      </c>
      <c r="CC154" s="3">
        <v>10</v>
      </c>
      <c r="CD154" s="3">
        <v>10</v>
      </c>
      <c r="CE154" s="191">
        <v>10</v>
      </c>
    </row>
    <row r="155" spans="65:83" x14ac:dyDescent="0.25">
      <c r="BM155" t="str">
        <f t="shared" si="16"/>
        <v/>
      </c>
      <c r="BN155" s="176">
        <v>13</v>
      </c>
      <c r="BO155" s="176">
        <v>3</v>
      </c>
      <c r="BW155" s="3">
        <v>10</v>
      </c>
      <c r="BX155" s="3">
        <v>10</v>
      </c>
      <c r="BY155" s="3">
        <v>10</v>
      </c>
      <c r="BZ155" s="3">
        <v>10</v>
      </c>
      <c r="CA155" s="3">
        <v>10</v>
      </c>
      <c r="CB155" s="3">
        <v>10</v>
      </c>
      <c r="CC155" s="3">
        <v>10</v>
      </c>
      <c r="CD155" s="3">
        <v>10</v>
      </c>
      <c r="CE155" s="191">
        <v>10</v>
      </c>
    </row>
    <row r="156" spans="65:83" x14ac:dyDescent="0.25">
      <c r="BM156" t="str">
        <f t="shared" si="16"/>
        <v/>
      </c>
      <c r="BN156" s="176">
        <v>13</v>
      </c>
      <c r="BO156" s="176">
        <v>4</v>
      </c>
      <c r="BW156" s="3">
        <v>10</v>
      </c>
      <c r="BX156" s="3">
        <v>10</v>
      </c>
      <c r="BY156" s="3">
        <v>10</v>
      </c>
      <c r="BZ156" s="3">
        <v>10</v>
      </c>
      <c r="CA156" s="3">
        <v>10</v>
      </c>
      <c r="CB156" s="3">
        <v>10</v>
      </c>
      <c r="CC156" s="3">
        <v>10</v>
      </c>
      <c r="CD156" s="3">
        <v>10</v>
      </c>
      <c r="CE156" s="191">
        <v>10</v>
      </c>
    </row>
    <row r="157" spans="65:83" x14ac:dyDescent="0.25">
      <c r="BM157" t="str">
        <f t="shared" si="16"/>
        <v/>
      </c>
      <c r="BN157" s="176">
        <v>13</v>
      </c>
      <c r="BO157" s="176">
        <v>5</v>
      </c>
      <c r="BW157" s="3">
        <v>10</v>
      </c>
      <c r="BX157" s="3">
        <v>10</v>
      </c>
      <c r="BY157" s="3">
        <v>10</v>
      </c>
      <c r="BZ157" s="3">
        <v>10</v>
      </c>
      <c r="CA157" s="3">
        <v>10</v>
      </c>
      <c r="CB157" s="3">
        <v>10</v>
      </c>
      <c r="CC157" s="3">
        <v>10</v>
      </c>
      <c r="CD157" s="3">
        <v>10</v>
      </c>
      <c r="CE157" s="191">
        <v>10</v>
      </c>
    </row>
    <row r="158" spans="65:83" x14ac:dyDescent="0.25">
      <c r="BM158" t="str">
        <f t="shared" si="16"/>
        <v/>
      </c>
      <c r="BN158" s="176">
        <v>13</v>
      </c>
      <c r="BO158" s="176">
        <v>6</v>
      </c>
      <c r="BW158" s="3">
        <v>10</v>
      </c>
      <c r="BX158" s="3">
        <v>10</v>
      </c>
      <c r="BY158" s="3">
        <v>10</v>
      </c>
      <c r="BZ158" s="3">
        <v>10</v>
      </c>
      <c r="CA158" s="3">
        <v>10</v>
      </c>
      <c r="CB158" s="3">
        <v>10</v>
      </c>
      <c r="CC158" s="3">
        <v>10</v>
      </c>
      <c r="CD158" s="3">
        <v>10</v>
      </c>
      <c r="CE158" s="191">
        <v>10</v>
      </c>
    </row>
    <row r="159" spans="65:83" x14ac:dyDescent="0.25">
      <c r="BM159" t="str">
        <f t="shared" si="16"/>
        <v/>
      </c>
      <c r="BN159" s="176">
        <v>13</v>
      </c>
      <c r="BO159" s="176">
        <v>7</v>
      </c>
      <c r="BW159" s="3">
        <v>10</v>
      </c>
      <c r="BX159" s="3">
        <v>10</v>
      </c>
      <c r="BY159" s="3">
        <v>10</v>
      </c>
      <c r="BZ159" s="3">
        <v>10</v>
      </c>
      <c r="CA159" s="3">
        <v>10</v>
      </c>
      <c r="CB159" s="3">
        <v>10</v>
      </c>
      <c r="CC159" s="3">
        <v>10</v>
      </c>
      <c r="CD159" s="3">
        <v>10</v>
      </c>
      <c r="CE159" s="191">
        <v>10</v>
      </c>
    </row>
    <row r="160" spans="65:83" x14ac:dyDescent="0.25">
      <c r="BM160" t="str">
        <f t="shared" si="16"/>
        <v/>
      </c>
      <c r="BN160" s="176">
        <v>13</v>
      </c>
      <c r="BO160" s="176">
        <v>8</v>
      </c>
      <c r="BW160" s="3">
        <v>10</v>
      </c>
      <c r="BX160" s="3">
        <v>10</v>
      </c>
      <c r="BY160" s="3">
        <v>10</v>
      </c>
      <c r="BZ160" s="3">
        <v>10</v>
      </c>
      <c r="CA160" s="3">
        <v>10</v>
      </c>
      <c r="CB160" s="3">
        <v>10</v>
      </c>
      <c r="CC160" s="3">
        <v>10</v>
      </c>
      <c r="CD160" s="3">
        <v>10</v>
      </c>
      <c r="CE160" s="191">
        <v>10</v>
      </c>
    </row>
    <row r="161" spans="65:83" x14ac:dyDescent="0.25">
      <c r="BM161" t="str">
        <f t="shared" si="16"/>
        <v/>
      </c>
      <c r="BN161" s="176">
        <v>13</v>
      </c>
      <c r="BO161" s="176">
        <v>9</v>
      </c>
      <c r="BW161" s="3">
        <v>10</v>
      </c>
      <c r="BX161" s="3">
        <v>10</v>
      </c>
      <c r="BY161" s="3">
        <v>10</v>
      </c>
      <c r="BZ161" s="3">
        <v>10</v>
      </c>
      <c r="CA161" s="3">
        <v>10</v>
      </c>
      <c r="CB161" s="3">
        <v>10</v>
      </c>
      <c r="CC161" s="3">
        <v>10</v>
      </c>
      <c r="CD161" s="3">
        <v>10</v>
      </c>
      <c r="CE161" s="191">
        <v>10</v>
      </c>
    </row>
    <row r="162" spans="65:83" x14ac:dyDescent="0.25">
      <c r="BM162" t="str">
        <f t="shared" si="16"/>
        <v/>
      </c>
      <c r="BN162" s="176">
        <v>13</v>
      </c>
      <c r="BO162" s="176">
        <v>10</v>
      </c>
      <c r="BW162" s="3">
        <v>10</v>
      </c>
      <c r="BX162" s="3">
        <v>10</v>
      </c>
      <c r="BY162" s="3">
        <v>10</v>
      </c>
      <c r="BZ162" s="3">
        <v>10</v>
      </c>
      <c r="CA162" s="3">
        <v>10</v>
      </c>
      <c r="CB162" s="3">
        <v>10</v>
      </c>
      <c r="CC162" s="3">
        <v>10</v>
      </c>
      <c r="CD162" s="3">
        <v>10</v>
      </c>
      <c r="CE162" s="191">
        <v>10</v>
      </c>
    </row>
    <row r="163" spans="65:83" x14ac:dyDescent="0.25">
      <c r="BM163" t="str">
        <f t="shared" si="16"/>
        <v/>
      </c>
      <c r="BN163" s="176">
        <v>14</v>
      </c>
      <c r="BO163" s="176">
        <v>1</v>
      </c>
      <c r="BW163" s="3">
        <v>10</v>
      </c>
      <c r="BX163" s="3">
        <v>10</v>
      </c>
      <c r="BY163" s="3">
        <v>10</v>
      </c>
      <c r="BZ163" s="3">
        <v>10</v>
      </c>
      <c r="CA163" s="3">
        <v>10</v>
      </c>
      <c r="CB163" s="3">
        <v>10</v>
      </c>
      <c r="CC163" s="3">
        <v>10</v>
      </c>
      <c r="CD163" s="3">
        <v>10</v>
      </c>
      <c r="CE163" s="191">
        <v>10</v>
      </c>
    </row>
    <row r="164" spans="65:83" x14ac:dyDescent="0.25">
      <c r="BM164" t="str">
        <f t="shared" si="16"/>
        <v/>
      </c>
      <c r="BN164" s="176">
        <v>14</v>
      </c>
      <c r="BO164" s="176">
        <v>2</v>
      </c>
      <c r="BW164" s="3">
        <v>10</v>
      </c>
      <c r="BX164" s="3">
        <v>10</v>
      </c>
      <c r="BY164" s="3">
        <v>10</v>
      </c>
      <c r="BZ164" s="3">
        <v>10</v>
      </c>
      <c r="CA164" s="3">
        <v>10</v>
      </c>
      <c r="CB164" s="3">
        <v>10</v>
      </c>
      <c r="CC164" s="3">
        <v>10</v>
      </c>
      <c r="CD164" s="3">
        <v>10</v>
      </c>
      <c r="CE164" s="191">
        <v>10</v>
      </c>
    </row>
    <row r="165" spans="65:83" x14ac:dyDescent="0.25">
      <c r="BM165" t="str">
        <f t="shared" si="16"/>
        <v/>
      </c>
      <c r="BN165" s="176">
        <v>14</v>
      </c>
      <c r="BO165" s="176">
        <v>3</v>
      </c>
      <c r="BW165" s="3">
        <v>10</v>
      </c>
      <c r="BX165" s="3">
        <v>10</v>
      </c>
      <c r="BY165" s="3">
        <v>10</v>
      </c>
      <c r="BZ165" s="3">
        <v>10</v>
      </c>
      <c r="CA165" s="3">
        <v>10</v>
      </c>
      <c r="CB165" s="3">
        <v>10</v>
      </c>
      <c r="CC165" s="3">
        <v>10</v>
      </c>
      <c r="CD165" s="3">
        <v>10</v>
      </c>
      <c r="CE165" s="191">
        <v>10</v>
      </c>
    </row>
    <row r="166" spans="65:83" x14ac:dyDescent="0.25">
      <c r="BM166" t="str">
        <f t="shared" si="16"/>
        <v/>
      </c>
      <c r="BN166" s="176">
        <v>14</v>
      </c>
      <c r="BO166" s="176">
        <v>4</v>
      </c>
      <c r="BW166" s="3">
        <v>10</v>
      </c>
      <c r="BX166" s="3">
        <v>10</v>
      </c>
      <c r="BY166" s="3">
        <v>10</v>
      </c>
      <c r="BZ166" s="3">
        <v>10</v>
      </c>
      <c r="CA166" s="3">
        <v>10</v>
      </c>
      <c r="CB166" s="3">
        <v>10</v>
      </c>
      <c r="CC166" s="3">
        <v>10</v>
      </c>
      <c r="CD166" s="3">
        <v>10</v>
      </c>
      <c r="CE166" s="191">
        <v>10</v>
      </c>
    </row>
    <row r="167" spans="65:83" x14ac:dyDescent="0.25">
      <c r="BM167" t="str">
        <f t="shared" si="16"/>
        <v/>
      </c>
      <c r="BN167" s="176">
        <v>14</v>
      </c>
      <c r="BO167" s="176">
        <v>5</v>
      </c>
      <c r="BW167" s="3">
        <v>10</v>
      </c>
      <c r="BX167" s="3">
        <v>10</v>
      </c>
      <c r="BY167" s="3">
        <v>10</v>
      </c>
      <c r="BZ167" s="3">
        <v>10</v>
      </c>
      <c r="CA167" s="3">
        <v>10</v>
      </c>
      <c r="CB167" s="3">
        <v>10</v>
      </c>
      <c r="CC167" s="3">
        <v>10</v>
      </c>
      <c r="CD167" s="3">
        <v>10</v>
      </c>
      <c r="CE167" s="191">
        <v>10</v>
      </c>
    </row>
    <row r="168" spans="65:83" x14ac:dyDescent="0.25">
      <c r="BM168" t="str">
        <f t="shared" si="16"/>
        <v/>
      </c>
      <c r="BN168" s="176">
        <v>14</v>
      </c>
      <c r="BO168" s="176">
        <v>6</v>
      </c>
      <c r="BW168" s="3">
        <v>10</v>
      </c>
      <c r="BX168" s="3">
        <v>10</v>
      </c>
      <c r="BY168" s="3">
        <v>10</v>
      </c>
      <c r="BZ168" s="3">
        <v>10</v>
      </c>
      <c r="CA168" s="3">
        <v>10</v>
      </c>
      <c r="CB168" s="3">
        <v>10</v>
      </c>
      <c r="CC168" s="3">
        <v>10</v>
      </c>
      <c r="CD168" s="3">
        <v>10</v>
      </c>
      <c r="CE168" s="191">
        <v>10</v>
      </c>
    </row>
    <row r="169" spans="65:83" x14ac:dyDescent="0.25">
      <c r="BM169" t="str">
        <f t="shared" si="16"/>
        <v/>
      </c>
      <c r="BN169" s="176">
        <v>14</v>
      </c>
      <c r="BO169" s="176">
        <v>7</v>
      </c>
      <c r="BW169" s="3">
        <v>10</v>
      </c>
      <c r="BX169" s="3">
        <v>10</v>
      </c>
      <c r="BY169" s="3">
        <v>10</v>
      </c>
      <c r="BZ169" s="3">
        <v>10</v>
      </c>
      <c r="CA169" s="3">
        <v>10</v>
      </c>
      <c r="CB169" s="3">
        <v>10</v>
      </c>
      <c r="CC169" s="3">
        <v>10</v>
      </c>
      <c r="CD169" s="3">
        <v>10</v>
      </c>
      <c r="CE169" s="191">
        <v>10</v>
      </c>
    </row>
    <row r="170" spans="65:83" x14ac:dyDescent="0.25">
      <c r="BM170" t="str">
        <f t="shared" si="16"/>
        <v/>
      </c>
      <c r="BN170" s="176">
        <v>14</v>
      </c>
      <c r="BO170" s="176">
        <v>8</v>
      </c>
      <c r="BW170" s="3">
        <v>10</v>
      </c>
      <c r="BX170" s="3">
        <v>10</v>
      </c>
      <c r="BY170" s="3">
        <v>10</v>
      </c>
      <c r="BZ170" s="3">
        <v>10</v>
      </c>
      <c r="CA170" s="3">
        <v>10</v>
      </c>
      <c r="CB170" s="3">
        <v>10</v>
      </c>
      <c r="CC170" s="3">
        <v>10</v>
      </c>
      <c r="CD170" s="3">
        <v>10</v>
      </c>
      <c r="CE170" s="191">
        <v>10</v>
      </c>
    </row>
    <row r="171" spans="65:83" x14ac:dyDescent="0.25">
      <c r="BM171" t="str">
        <f t="shared" si="16"/>
        <v/>
      </c>
      <c r="BN171" s="176">
        <v>14</v>
      </c>
      <c r="BO171" s="176">
        <v>9</v>
      </c>
      <c r="BW171" s="3">
        <v>10</v>
      </c>
      <c r="BX171" s="3">
        <v>10</v>
      </c>
      <c r="BY171" s="3">
        <v>10</v>
      </c>
      <c r="BZ171" s="3">
        <v>10</v>
      </c>
      <c r="CA171" s="3">
        <v>10</v>
      </c>
      <c r="CB171" s="3">
        <v>10</v>
      </c>
      <c r="CC171" s="3">
        <v>10</v>
      </c>
      <c r="CD171" s="3">
        <v>10</v>
      </c>
      <c r="CE171" s="191">
        <v>10</v>
      </c>
    </row>
    <row r="172" spans="65:83" x14ac:dyDescent="0.25">
      <c r="BM172" t="str">
        <f t="shared" si="16"/>
        <v/>
      </c>
      <c r="BN172" s="176">
        <v>14</v>
      </c>
      <c r="BO172" s="176">
        <v>10</v>
      </c>
      <c r="BW172" s="3">
        <v>10</v>
      </c>
      <c r="BX172" s="3">
        <v>10</v>
      </c>
      <c r="BY172" s="3">
        <v>10</v>
      </c>
      <c r="BZ172" s="3">
        <v>10</v>
      </c>
      <c r="CA172" s="3">
        <v>10</v>
      </c>
      <c r="CB172" s="3">
        <v>10</v>
      </c>
      <c r="CC172" s="3">
        <v>10</v>
      </c>
      <c r="CD172" s="3">
        <v>10</v>
      </c>
      <c r="CE172" s="191">
        <v>10</v>
      </c>
    </row>
    <row r="173" spans="65:83" x14ac:dyDescent="0.25">
      <c r="BM173" t="str">
        <f t="shared" si="16"/>
        <v/>
      </c>
      <c r="BN173" s="176">
        <v>15</v>
      </c>
      <c r="BO173" s="176">
        <v>1</v>
      </c>
      <c r="BW173" s="3">
        <v>10</v>
      </c>
      <c r="BX173" s="3">
        <v>10</v>
      </c>
      <c r="BY173" s="3">
        <v>10</v>
      </c>
      <c r="BZ173" s="3">
        <v>10</v>
      </c>
      <c r="CA173" s="3">
        <v>10</v>
      </c>
      <c r="CB173" s="3">
        <v>10</v>
      </c>
      <c r="CC173" s="3">
        <v>10</v>
      </c>
      <c r="CD173" s="3">
        <v>10</v>
      </c>
      <c r="CE173" s="191">
        <v>10</v>
      </c>
    </row>
    <row r="174" spans="65:83" x14ac:dyDescent="0.25">
      <c r="BM174" t="str">
        <f t="shared" si="16"/>
        <v/>
      </c>
      <c r="BN174" s="176">
        <v>15</v>
      </c>
      <c r="BO174" s="176">
        <v>2</v>
      </c>
      <c r="BW174" s="3">
        <v>10</v>
      </c>
      <c r="BX174" s="3">
        <v>10</v>
      </c>
      <c r="BY174" s="3">
        <v>10</v>
      </c>
      <c r="BZ174" s="3">
        <v>10</v>
      </c>
      <c r="CA174" s="3">
        <v>10</v>
      </c>
      <c r="CB174" s="3">
        <v>10</v>
      </c>
      <c r="CC174" s="3">
        <v>10</v>
      </c>
      <c r="CD174" s="3">
        <v>10</v>
      </c>
      <c r="CE174" s="191">
        <v>10</v>
      </c>
    </row>
    <row r="175" spans="65:83" x14ac:dyDescent="0.25">
      <c r="BM175" t="str">
        <f t="shared" si="16"/>
        <v/>
      </c>
      <c r="BN175" s="176">
        <v>15</v>
      </c>
      <c r="BO175" s="176">
        <v>3</v>
      </c>
      <c r="BW175" s="3">
        <v>10</v>
      </c>
      <c r="BX175" s="3">
        <v>10</v>
      </c>
      <c r="BY175" s="3">
        <v>10</v>
      </c>
      <c r="BZ175" s="3">
        <v>10</v>
      </c>
      <c r="CA175" s="3">
        <v>10</v>
      </c>
      <c r="CB175" s="3">
        <v>10</v>
      </c>
      <c r="CC175" s="3">
        <v>10</v>
      </c>
      <c r="CD175" s="3">
        <v>10</v>
      </c>
      <c r="CE175" s="191">
        <v>10</v>
      </c>
    </row>
    <row r="176" spans="65:83" x14ac:dyDescent="0.25">
      <c r="BM176" t="str">
        <f t="shared" si="16"/>
        <v/>
      </c>
      <c r="BN176" s="176">
        <v>15</v>
      </c>
      <c r="BO176" s="176">
        <v>4</v>
      </c>
      <c r="BW176" s="3">
        <v>10</v>
      </c>
      <c r="BX176" s="3">
        <v>10</v>
      </c>
      <c r="BY176" s="3">
        <v>10</v>
      </c>
      <c r="BZ176" s="3">
        <v>10</v>
      </c>
      <c r="CA176" s="3">
        <v>10</v>
      </c>
      <c r="CB176" s="3">
        <v>10</v>
      </c>
      <c r="CC176" s="3">
        <v>10</v>
      </c>
      <c r="CD176" s="3">
        <v>10</v>
      </c>
      <c r="CE176" s="191">
        <v>10</v>
      </c>
    </row>
    <row r="177" spans="65:83" x14ac:dyDescent="0.25">
      <c r="BM177" t="str">
        <f t="shared" si="16"/>
        <v/>
      </c>
      <c r="BN177" s="176">
        <v>15</v>
      </c>
      <c r="BO177" s="176">
        <v>5</v>
      </c>
      <c r="BW177" s="3">
        <v>10</v>
      </c>
      <c r="BX177" s="3">
        <v>10</v>
      </c>
      <c r="BY177" s="3">
        <v>10</v>
      </c>
      <c r="BZ177" s="3">
        <v>10</v>
      </c>
      <c r="CA177" s="3">
        <v>10</v>
      </c>
      <c r="CB177" s="3">
        <v>10</v>
      </c>
      <c r="CC177" s="3">
        <v>10</v>
      </c>
      <c r="CD177" s="3">
        <v>10</v>
      </c>
      <c r="CE177" s="191">
        <v>10</v>
      </c>
    </row>
    <row r="178" spans="65:83" x14ac:dyDescent="0.25">
      <c r="BM178" t="str">
        <f t="shared" si="16"/>
        <v/>
      </c>
      <c r="BN178" s="176">
        <v>15</v>
      </c>
      <c r="BO178" s="176">
        <v>6</v>
      </c>
      <c r="BW178" s="3">
        <v>10</v>
      </c>
      <c r="BX178" s="3">
        <v>10</v>
      </c>
      <c r="BY178" s="3">
        <v>10</v>
      </c>
      <c r="BZ178" s="3">
        <v>10</v>
      </c>
      <c r="CA178" s="3">
        <v>10</v>
      </c>
      <c r="CB178" s="3">
        <v>10</v>
      </c>
      <c r="CC178" s="3">
        <v>10</v>
      </c>
      <c r="CD178" s="3">
        <v>10</v>
      </c>
      <c r="CE178" s="191">
        <v>10</v>
      </c>
    </row>
    <row r="179" spans="65:83" x14ac:dyDescent="0.25">
      <c r="BM179" t="str">
        <f t="shared" si="16"/>
        <v/>
      </c>
      <c r="BN179" s="176">
        <v>15</v>
      </c>
      <c r="BO179" s="176">
        <v>7</v>
      </c>
      <c r="BW179" s="3">
        <v>10</v>
      </c>
      <c r="BX179" s="3">
        <v>10</v>
      </c>
      <c r="BY179" s="3">
        <v>10</v>
      </c>
      <c r="BZ179" s="3">
        <v>10</v>
      </c>
      <c r="CA179" s="3">
        <v>10</v>
      </c>
      <c r="CB179" s="3">
        <v>10</v>
      </c>
      <c r="CC179" s="3">
        <v>10</v>
      </c>
      <c r="CD179" s="3">
        <v>10</v>
      </c>
      <c r="CE179" s="191">
        <v>10</v>
      </c>
    </row>
    <row r="180" spans="65:83" x14ac:dyDescent="0.25">
      <c r="BM180" t="str">
        <f t="shared" si="16"/>
        <v/>
      </c>
      <c r="BN180" s="176">
        <v>15</v>
      </c>
      <c r="BO180" s="176">
        <v>8</v>
      </c>
      <c r="BW180" s="3">
        <v>10</v>
      </c>
      <c r="BX180" s="3">
        <v>10</v>
      </c>
      <c r="BY180" s="3">
        <v>10</v>
      </c>
      <c r="BZ180" s="3">
        <v>10</v>
      </c>
      <c r="CA180" s="3">
        <v>10</v>
      </c>
      <c r="CB180" s="3">
        <v>10</v>
      </c>
      <c r="CC180" s="3">
        <v>10</v>
      </c>
      <c r="CD180" s="3">
        <v>10</v>
      </c>
      <c r="CE180" s="191">
        <v>10</v>
      </c>
    </row>
    <row r="181" spans="65:83" x14ac:dyDescent="0.25">
      <c r="BM181" t="str">
        <f t="shared" si="16"/>
        <v/>
      </c>
      <c r="BN181" s="176">
        <v>15</v>
      </c>
      <c r="BO181" s="176">
        <v>9</v>
      </c>
      <c r="BW181" s="3">
        <v>10</v>
      </c>
      <c r="BX181" s="3">
        <v>10</v>
      </c>
      <c r="BY181" s="3">
        <v>10</v>
      </c>
      <c r="BZ181" s="3">
        <v>10</v>
      </c>
      <c r="CA181" s="3">
        <v>10</v>
      </c>
      <c r="CB181" s="3">
        <v>10</v>
      </c>
      <c r="CC181" s="3">
        <v>10</v>
      </c>
      <c r="CD181" s="3">
        <v>10</v>
      </c>
      <c r="CE181" s="191">
        <v>10</v>
      </c>
    </row>
    <row r="182" spans="65:83" x14ac:dyDescent="0.25">
      <c r="BM182" t="str">
        <f t="shared" si="16"/>
        <v/>
      </c>
      <c r="BN182" s="176">
        <v>15</v>
      </c>
      <c r="BO182" s="176">
        <v>10</v>
      </c>
      <c r="BW182" s="3">
        <v>10</v>
      </c>
      <c r="BX182" s="3">
        <v>10</v>
      </c>
      <c r="BY182" s="3">
        <v>10</v>
      </c>
      <c r="BZ182" s="3">
        <v>10</v>
      </c>
      <c r="CA182" s="3">
        <v>10</v>
      </c>
      <c r="CB182" s="3">
        <v>10</v>
      </c>
      <c r="CC182" s="3">
        <v>10</v>
      </c>
      <c r="CD182" s="3">
        <v>10</v>
      </c>
      <c r="CE182" s="191">
        <v>10</v>
      </c>
    </row>
    <row r="183" spans="65:83" x14ac:dyDescent="0.25">
      <c r="BM183" t="str">
        <f t="shared" si="16"/>
        <v/>
      </c>
      <c r="BN183" s="176">
        <v>16</v>
      </c>
      <c r="BO183" s="176">
        <v>1</v>
      </c>
      <c r="BW183" s="3">
        <v>10</v>
      </c>
      <c r="BX183" s="3">
        <v>10</v>
      </c>
      <c r="BY183" s="3">
        <v>10</v>
      </c>
      <c r="BZ183" s="3">
        <v>10</v>
      </c>
      <c r="CA183" s="3">
        <v>10</v>
      </c>
      <c r="CB183" s="3">
        <v>10</v>
      </c>
      <c r="CC183" s="3">
        <v>10</v>
      </c>
      <c r="CD183" s="3">
        <v>10</v>
      </c>
      <c r="CE183" s="191">
        <v>10</v>
      </c>
    </row>
    <row r="184" spans="65:83" x14ac:dyDescent="0.25">
      <c r="BM184" t="str">
        <f t="shared" si="16"/>
        <v/>
      </c>
      <c r="BN184" s="176">
        <v>16</v>
      </c>
      <c r="BO184" s="176">
        <v>2</v>
      </c>
      <c r="BW184" s="3">
        <v>10</v>
      </c>
      <c r="BX184" s="3">
        <v>10</v>
      </c>
      <c r="BY184" s="3">
        <v>10</v>
      </c>
      <c r="BZ184" s="3">
        <v>10</v>
      </c>
      <c r="CA184" s="3">
        <v>10</v>
      </c>
      <c r="CB184" s="3">
        <v>10</v>
      </c>
      <c r="CC184" s="3">
        <v>10</v>
      </c>
      <c r="CD184" s="3">
        <v>10</v>
      </c>
      <c r="CE184" s="191">
        <v>10</v>
      </c>
    </row>
    <row r="185" spans="65:83" x14ac:dyDescent="0.25">
      <c r="BM185" t="str">
        <f t="shared" si="16"/>
        <v/>
      </c>
      <c r="BN185" s="176">
        <v>16</v>
      </c>
      <c r="BO185" s="176">
        <v>3</v>
      </c>
      <c r="BW185" s="3">
        <v>10</v>
      </c>
      <c r="BX185" s="3">
        <v>10</v>
      </c>
      <c r="BY185" s="3">
        <v>10</v>
      </c>
      <c r="BZ185" s="3">
        <v>10</v>
      </c>
      <c r="CA185" s="3">
        <v>10</v>
      </c>
      <c r="CB185" s="3">
        <v>10</v>
      </c>
      <c r="CC185" s="3">
        <v>10</v>
      </c>
      <c r="CD185" s="3">
        <v>10</v>
      </c>
      <c r="CE185" s="191">
        <v>10</v>
      </c>
    </row>
    <row r="186" spans="65:83" x14ac:dyDescent="0.25">
      <c r="BM186" t="str">
        <f t="shared" si="16"/>
        <v/>
      </c>
      <c r="BN186" s="176">
        <v>16</v>
      </c>
      <c r="BO186" s="176">
        <v>4</v>
      </c>
      <c r="BW186" s="3">
        <v>10</v>
      </c>
      <c r="BX186" s="3">
        <v>10</v>
      </c>
      <c r="BY186" s="3">
        <v>10</v>
      </c>
      <c r="BZ186" s="3">
        <v>10</v>
      </c>
      <c r="CA186" s="3">
        <v>10</v>
      </c>
      <c r="CB186" s="3">
        <v>10</v>
      </c>
      <c r="CC186" s="3">
        <v>10</v>
      </c>
      <c r="CD186" s="3">
        <v>10</v>
      </c>
      <c r="CE186" s="191">
        <v>10</v>
      </c>
    </row>
    <row r="187" spans="65:83" x14ac:dyDescent="0.25">
      <c r="BM187" t="str">
        <f t="shared" si="16"/>
        <v/>
      </c>
      <c r="BN187" s="176">
        <v>16</v>
      </c>
      <c r="BO187" s="176">
        <v>5</v>
      </c>
      <c r="BW187" s="3">
        <v>10</v>
      </c>
      <c r="BX187" s="3">
        <v>10</v>
      </c>
      <c r="BY187" s="3">
        <v>10</v>
      </c>
      <c r="BZ187" s="3">
        <v>10</v>
      </c>
      <c r="CA187" s="3">
        <v>10</v>
      </c>
      <c r="CB187" s="3">
        <v>10</v>
      </c>
      <c r="CC187" s="3">
        <v>10</v>
      </c>
      <c r="CD187" s="3">
        <v>10</v>
      </c>
      <c r="CE187" s="191">
        <v>10</v>
      </c>
    </row>
    <row r="188" spans="65:83" x14ac:dyDescent="0.25">
      <c r="BM188" t="str">
        <f t="shared" si="16"/>
        <v/>
      </c>
      <c r="BN188" s="176">
        <v>16</v>
      </c>
      <c r="BO188" s="176">
        <v>6</v>
      </c>
      <c r="BW188" s="3">
        <v>10</v>
      </c>
      <c r="BX188" s="3">
        <v>10</v>
      </c>
      <c r="BY188" s="3">
        <v>10</v>
      </c>
      <c r="BZ188" s="3">
        <v>10</v>
      </c>
      <c r="CA188" s="3">
        <v>10</v>
      </c>
      <c r="CB188" s="3">
        <v>10</v>
      </c>
      <c r="CC188" s="3">
        <v>10</v>
      </c>
      <c r="CD188" s="3">
        <v>10</v>
      </c>
      <c r="CE188" s="191">
        <v>10</v>
      </c>
    </row>
    <row r="189" spans="65:83" x14ac:dyDescent="0.25">
      <c r="BM189" t="str">
        <f t="shared" si="16"/>
        <v/>
      </c>
      <c r="BN189" s="176">
        <v>16</v>
      </c>
      <c r="BO189" s="176">
        <v>7</v>
      </c>
      <c r="BW189" s="3">
        <v>10</v>
      </c>
      <c r="BX189" s="3">
        <v>10</v>
      </c>
      <c r="BY189" s="3">
        <v>10</v>
      </c>
      <c r="BZ189" s="3">
        <v>10</v>
      </c>
      <c r="CA189" s="3">
        <v>10</v>
      </c>
      <c r="CB189" s="3">
        <v>10</v>
      </c>
      <c r="CC189" s="3">
        <v>10</v>
      </c>
      <c r="CD189" s="3">
        <v>10</v>
      </c>
      <c r="CE189" s="191">
        <v>10</v>
      </c>
    </row>
    <row r="190" spans="65:83" x14ac:dyDescent="0.25">
      <c r="BM190" t="str">
        <f t="shared" si="16"/>
        <v/>
      </c>
      <c r="BN190" s="176">
        <v>16</v>
      </c>
      <c r="BO190" s="176">
        <v>8</v>
      </c>
      <c r="BW190" s="3">
        <v>10</v>
      </c>
      <c r="BX190" s="3">
        <v>10</v>
      </c>
      <c r="BY190" s="3">
        <v>10</v>
      </c>
      <c r="BZ190" s="3">
        <v>10</v>
      </c>
      <c r="CA190" s="3">
        <v>10</v>
      </c>
      <c r="CB190" s="3">
        <v>10</v>
      </c>
      <c r="CC190" s="3">
        <v>10</v>
      </c>
      <c r="CD190" s="3">
        <v>10</v>
      </c>
      <c r="CE190" s="191">
        <v>10</v>
      </c>
    </row>
    <row r="191" spans="65:83" x14ac:dyDescent="0.25">
      <c r="BM191" t="str">
        <f t="shared" si="16"/>
        <v/>
      </c>
      <c r="BN191" s="176">
        <v>16</v>
      </c>
      <c r="BO191" s="176">
        <v>9</v>
      </c>
      <c r="BW191" s="3">
        <v>10</v>
      </c>
      <c r="BX191" s="3">
        <v>10</v>
      </c>
      <c r="BY191" s="3">
        <v>10</v>
      </c>
      <c r="BZ191" s="3">
        <v>10</v>
      </c>
      <c r="CA191" s="3">
        <v>10</v>
      </c>
      <c r="CB191" s="3">
        <v>10</v>
      </c>
      <c r="CC191" s="3">
        <v>10</v>
      </c>
      <c r="CD191" s="3">
        <v>10</v>
      </c>
      <c r="CE191" s="191">
        <v>10</v>
      </c>
    </row>
    <row r="192" spans="65:83" x14ac:dyDescent="0.25">
      <c r="BM192" t="str">
        <f t="shared" si="16"/>
        <v/>
      </c>
      <c r="BN192" s="176">
        <v>16</v>
      </c>
      <c r="BO192" s="176">
        <v>10</v>
      </c>
      <c r="BW192" s="3">
        <v>10</v>
      </c>
      <c r="BX192" s="3">
        <v>10</v>
      </c>
      <c r="BY192" s="3">
        <v>10</v>
      </c>
      <c r="BZ192" s="3">
        <v>10</v>
      </c>
      <c r="CA192" s="3">
        <v>10</v>
      </c>
      <c r="CB192" s="3">
        <v>10</v>
      </c>
      <c r="CC192" s="3">
        <v>10</v>
      </c>
      <c r="CD192" s="3">
        <v>10</v>
      </c>
      <c r="CE192" s="191">
        <v>10</v>
      </c>
    </row>
  </sheetData>
  <sheetProtection selectLockedCells="1"/>
  <mergeCells count="163">
    <mergeCell ref="F2:O2"/>
    <mergeCell ref="F3:O3"/>
    <mergeCell ref="F1:O1"/>
    <mergeCell ref="F4:O4"/>
    <mergeCell ref="L42:M42"/>
    <mergeCell ref="N42:O42"/>
    <mergeCell ref="W42:X42"/>
    <mergeCell ref="G43:I43"/>
    <mergeCell ref="J43:K43"/>
    <mergeCell ref="L43:M43"/>
    <mergeCell ref="N43:O43"/>
    <mergeCell ref="W43:X43"/>
    <mergeCell ref="A39:A41"/>
    <mergeCell ref="B39:B41"/>
    <mergeCell ref="C39:C43"/>
    <mergeCell ref="F39:F41"/>
    <mergeCell ref="H41:N41"/>
    <mergeCell ref="A42:A43"/>
    <mergeCell ref="B42:B43"/>
    <mergeCell ref="F42:F43"/>
    <mergeCell ref="G42:I42"/>
    <mergeCell ref="J42:K42"/>
    <mergeCell ref="O33:O35"/>
    <mergeCell ref="U33:U35"/>
    <mergeCell ref="V33:V35"/>
    <mergeCell ref="W33:W35"/>
    <mergeCell ref="X33:X35"/>
    <mergeCell ref="I37:K39"/>
    <mergeCell ref="L38:O38"/>
    <mergeCell ref="N29:N30"/>
    <mergeCell ref="O29:O30"/>
    <mergeCell ref="I31:J31"/>
    <mergeCell ref="G32:I32"/>
    <mergeCell ref="G33:G35"/>
    <mergeCell ref="H33:I35"/>
    <mergeCell ref="J33:K35"/>
    <mergeCell ref="L33:L35"/>
    <mergeCell ref="M33:M35"/>
    <mergeCell ref="N33:N35"/>
    <mergeCell ref="A29:A38"/>
    <mergeCell ref="B29:C38"/>
    <mergeCell ref="L23:L24"/>
    <mergeCell ref="M23:M24"/>
    <mergeCell ref="A22:A25"/>
    <mergeCell ref="B22:B25"/>
    <mergeCell ref="C22:C28"/>
    <mergeCell ref="F22:F28"/>
    <mergeCell ref="H22:J22"/>
    <mergeCell ref="G23:G24"/>
    <mergeCell ref="H23:J24"/>
    <mergeCell ref="F29:F38"/>
    <mergeCell ref="G29:G30"/>
    <mergeCell ref="I29:I30"/>
    <mergeCell ref="K29:K30"/>
    <mergeCell ref="L29:L30"/>
    <mergeCell ref="M29:M30"/>
    <mergeCell ref="H25:H31"/>
    <mergeCell ref="X19:X20"/>
    <mergeCell ref="A26:A27"/>
    <mergeCell ref="B26:B27"/>
    <mergeCell ref="I26:J26"/>
    <mergeCell ref="I27:J27"/>
    <mergeCell ref="I28:J28"/>
    <mergeCell ref="W23:W24"/>
    <mergeCell ref="X23:X24"/>
    <mergeCell ref="N23:N24"/>
    <mergeCell ref="O23:O24"/>
    <mergeCell ref="U23:U24"/>
    <mergeCell ref="V23:V24"/>
    <mergeCell ref="A20:A21"/>
    <mergeCell ref="B20:C21"/>
    <mergeCell ref="F20:F21"/>
    <mergeCell ref="H20:J20"/>
    <mergeCell ref="H21:J21"/>
    <mergeCell ref="L21:L22"/>
    <mergeCell ref="M21:M22"/>
    <mergeCell ref="V17:V18"/>
    <mergeCell ref="W17:W18"/>
    <mergeCell ref="N21:N22"/>
    <mergeCell ref="O21:O22"/>
    <mergeCell ref="U21:U22"/>
    <mergeCell ref="V21:V22"/>
    <mergeCell ref="W21:W22"/>
    <mergeCell ref="X17:X18"/>
    <mergeCell ref="H18:J18"/>
    <mergeCell ref="H19:J19"/>
    <mergeCell ref="L19:L20"/>
    <mergeCell ref="M19:M20"/>
    <mergeCell ref="N19:N20"/>
    <mergeCell ref="O19:O20"/>
    <mergeCell ref="U19:U20"/>
    <mergeCell ref="H17:J17"/>
    <mergeCell ref="L17:L18"/>
    <mergeCell ref="M17:M18"/>
    <mergeCell ref="N17:N18"/>
    <mergeCell ref="O17:O18"/>
    <mergeCell ref="U17:U18"/>
    <mergeCell ref="X21:X22"/>
    <mergeCell ref="V19:V20"/>
    <mergeCell ref="W19:W20"/>
    <mergeCell ref="O15:O16"/>
    <mergeCell ref="U15:U16"/>
    <mergeCell ref="V15:V16"/>
    <mergeCell ref="W15:W16"/>
    <mergeCell ref="X15:X16"/>
    <mergeCell ref="H16:J16"/>
    <mergeCell ref="X13:X14"/>
    <mergeCell ref="H14:J14"/>
    <mergeCell ref="A15:A19"/>
    <mergeCell ref="B15:B19"/>
    <mergeCell ref="C15:C19"/>
    <mergeCell ref="F15:F19"/>
    <mergeCell ref="H15:J15"/>
    <mergeCell ref="L15:L16"/>
    <mergeCell ref="M15:M16"/>
    <mergeCell ref="N15:N16"/>
    <mergeCell ref="M13:M14"/>
    <mergeCell ref="N13:N14"/>
    <mergeCell ref="O13:O14"/>
    <mergeCell ref="U13:U14"/>
    <mergeCell ref="V13:V14"/>
    <mergeCell ref="W13:W14"/>
    <mergeCell ref="A12:A14"/>
    <mergeCell ref="B12:C14"/>
    <mergeCell ref="F12:F14"/>
    <mergeCell ref="H12:J12"/>
    <mergeCell ref="H13:J13"/>
    <mergeCell ref="L13:L14"/>
    <mergeCell ref="R10:S10"/>
    <mergeCell ref="H11:J11"/>
    <mergeCell ref="L11:L12"/>
    <mergeCell ref="M11:M12"/>
    <mergeCell ref="N11:N12"/>
    <mergeCell ref="O11:O12"/>
    <mergeCell ref="N9:N10"/>
    <mergeCell ref="U11:U12"/>
    <mergeCell ref="V11:V12"/>
    <mergeCell ref="W11:W12"/>
    <mergeCell ref="X11:X12"/>
    <mergeCell ref="O9:O10"/>
    <mergeCell ref="U9:U10"/>
    <mergeCell ref="V9:V10"/>
    <mergeCell ref="W9:W10"/>
    <mergeCell ref="X9:X10"/>
    <mergeCell ref="A10:A11"/>
    <mergeCell ref="B10:C11"/>
    <mergeCell ref="F10:F11"/>
    <mergeCell ref="H10:J10"/>
    <mergeCell ref="H8:K8"/>
    <mergeCell ref="L8:M8"/>
    <mergeCell ref="H9:J9"/>
    <mergeCell ref="L9:L10"/>
    <mergeCell ref="M9:M10"/>
    <mergeCell ref="B5:C5"/>
    <mergeCell ref="G5:O5"/>
    <mergeCell ref="AH5:AJ5"/>
    <mergeCell ref="AM5:AO5"/>
    <mergeCell ref="A6:A9"/>
    <mergeCell ref="B6:C9"/>
    <mergeCell ref="F6:F9"/>
    <mergeCell ref="G6:O6"/>
    <mergeCell ref="H7:K7"/>
    <mergeCell ref="L7:M7"/>
  </mergeCells>
  <printOptions horizontalCentered="1" verticalCentered="1"/>
  <pageMargins left="0" right="0" top="0" bottom="0" header="0.51181102362204722" footer="0.51181102362204722"/>
  <pageSetup scale="96" orientation="portrait" horizontalDpi="300" verticalDpi="300" r:id="rId1"/>
  <headerFooter alignWithMargins="0"/>
  <colBreaks count="1" manualBreakCount="1">
    <brk id="20" max="1048575" man="1"/>
  </colBreaks>
  <drawing r:id="rId2"/>
  <legacyDrawing r:id="rId3"/>
  <oleObjects>
    <mc:AlternateContent xmlns:mc="http://schemas.openxmlformats.org/markup-compatibility/2006">
      <mc:Choice Requires="x14">
        <oleObject progId="Word.Picture.8" shapeId="1027" r:id="rId4">
          <objectPr defaultSize="0" autoPict="0" r:id="rId5">
            <anchor moveWithCells="1" sizeWithCells="1">
              <from>
                <xdr:col>5</xdr:col>
                <xdr:colOff>152400</xdr:colOff>
                <xdr:row>0</xdr:row>
                <xdr:rowOff>104775</xdr:rowOff>
              </from>
              <to>
                <xdr:col>8</xdr:col>
                <xdr:colOff>47625</xdr:colOff>
                <xdr:row>3</xdr:row>
                <xdr:rowOff>342900</xdr:rowOff>
              </to>
            </anchor>
          </objectPr>
        </oleObject>
      </mc:Choice>
      <mc:Fallback>
        <oleObject progId="Word.Picture.8" shapeId="1027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P60"/>
  <sheetViews>
    <sheetView zoomScaleNormal="100" workbookViewId="0">
      <selection activeCell="B1" sqref="B1:N4"/>
    </sheetView>
  </sheetViews>
  <sheetFormatPr defaultColWidth="9.140625" defaultRowHeight="12.75" x14ac:dyDescent="0.2"/>
  <cols>
    <col min="1" max="1" width="9.140625" style="3"/>
    <col min="2" max="2" width="4.28515625" style="91" customWidth="1"/>
    <col min="3" max="4" width="2" style="77" customWidth="1"/>
    <col min="5" max="5" width="2" style="78" customWidth="1"/>
    <col min="6" max="6" width="4.28515625" style="52" customWidth="1"/>
    <col min="7" max="7" width="4.28515625" style="3" customWidth="1"/>
    <col min="8" max="8" width="11.42578125" style="3" customWidth="1"/>
    <col min="9" max="9" width="9" style="3" customWidth="1"/>
    <col min="10" max="10" width="6.7109375" style="50" customWidth="1"/>
    <col min="11" max="11" width="13" style="3" customWidth="1"/>
    <col min="12" max="12" width="11.5703125" style="53" bestFit="1" customWidth="1"/>
    <col min="13" max="13" width="7.140625" style="3" customWidth="1"/>
    <col min="14" max="14" width="7.42578125" style="79" customWidth="1"/>
    <col min="15" max="15" width="9.28515625" style="3" customWidth="1"/>
    <col min="16" max="17" width="8.28515625" style="3" hidden="1" customWidth="1"/>
    <col min="18" max="18" width="8.7109375" style="3" hidden="1" customWidth="1"/>
    <col min="19" max="19" width="8.28515625" style="53" hidden="1" customWidth="1"/>
    <col min="20" max="20" width="9.140625" style="3" hidden="1" customWidth="1"/>
    <col min="21" max="21" width="13" style="3" hidden="1" customWidth="1"/>
    <col min="22" max="22" width="6" style="53" hidden="1" customWidth="1"/>
    <col min="23" max="23" width="7.140625" style="3" hidden="1" customWidth="1"/>
    <col min="24" max="24" width="6.42578125" style="79" hidden="1" customWidth="1"/>
    <col min="25" max="25" width="11.5703125" style="3" hidden="1" customWidth="1"/>
    <col min="26" max="26" width="11.42578125" style="3" hidden="1" customWidth="1"/>
    <col min="27" max="29" width="5.5703125" style="52" hidden="1" customWidth="1"/>
    <col min="30" max="35" width="9.140625" style="3" hidden="1" customWidth="1"/>
    <col min="36" max="38" width="9.140625" style="3" customWidth="1"/>
    <col min="39" max="42" width="10.28515625" style="3" customWidth="1"/>
    <col min="43" max="16384" width="9.140625" style="3"/>
  </cols>
  <sheetData>
    <row r="1" spans="2:41" x14ac:dyDescent="0.2">
      <c r="B1" s="756"/>
      <c r="C1" s="757"/>
      <c r="D1" s="757"/>
      <c r="E1" s="757"/>
      <c r="F1" s="757"/>
      <c r="G1" s="757"/>
      <c r="H1" s="757"/>
      <c r="I1" s="757"/>
      <c r="J1" s="757"/>
      <c r="K1" s="757"/>
      <c r="L1" s="757"/>
      <c r="M1" s="757"/>
      <c r="N1" s="758"/>
      <c r="AA1" s="323"/>
      <c r="AB1" s="323"/>
      <c r="AC1" s="323"/>
    </row>
    <row r="2" spans="2:41" ht="18.75" x14ac:dyDescent="0.3">
      <c r="B2" s="752" t="s">
        <v>235</v>
      </c>
      <c r="C2" s="746"/>
      <c r="D2" s="746"/>
      <c r="E2" s="746"/>
      <c r="F2" s="746"/>
      <c r="G2" s="746"/>
      <c r="H2" s="746"/>
      <c r="I2" s="746"/>
      <c r="J2" s="746"/>
      <c r="K2" s="746"/>
      <c r="L2" s="746"/>
      <c r="M2" s="746"/>
      <c r="N2" s="753"/>
      <c r="AA2" s="323"/>
      <c r="AB2" s="323"/>
      <c r="AC2" s="323"/>
    </row>
    <row r="3" spans="2:41" ht="18.75" x14ac:dyDescent="0.3">
      <c r="B3" s="752" t="s">
        <v>236</v>
      </c>
      <c r="C3" s="746"/>
      <c r="D3" s="746"/>
      <c r="E3" s="746"/>
      <c r="F3" s="746"/>
      <c r="G3" s="746"/>
      <c r="H3" s="746"/>
      <c r="I3" s="746"/>
      <c r="J3" s="746"/>
      <c r="K3" s="746"/>
      <c r="L3" s="746"/>
      <c r="M3" s="746"/>
      <c r="N3" s="753"/>
      <c r="AA3" s="323"/>
      <c r="AB3" s="323"/>
      <c r="AC3" s="323"/>
    </row>
    <row r="4" spans="2:41" ht="13.5" thickBot="1" x14ac:dyDescent="0.25">
      <c r="B4" s="759"/>
      <c r="C4" s="748"/>
      <c r="D4" s="748"/>
      <c r="E4" s="748"/>
      <c r="F4" s="748"/>
      <c r="G4" s="748"/>
      <c r="H4" s="748"/>
      <c r="I4" s="748"/>
      <c r="J4" s="748"/>
      <c r="K4" s="748"/>
      <c r="L4" s="748"/>
      <c r="M4" s="748"/>
      <c r="N4" s="760"/>
      <c r="AA4" s="323"/>
      <c r="AB4" s="323"/>
      <c r="AC4" s="323"/>
    </row>
    <row r="5" spans="2:41" s="1" customFormat="1" ht="18.75" customHeight="1" x14ac:dyDescent="0.3">
      <c r="B5" s="261" t="str">
        <f>AB11</f>
        <v/>
      </c>
      <c r="C5" s="409" t="s">
        <v>0</v>
      </c>
      <c r="D5" s="409"/>
      <c r="E5" s="55" t="s">
        <v>1</v>
      </c>
      <c r="F5" s="410" t="s">
        <v>178</v>
      </c>
      <c r="G5" s="411"/>
      <c r="H5" s="411"/>
      <c r="I5" s="411"/>
      <c r="J5" s="411"/>
      <c r="K5" s="411"/>
      <c r="L5" s="411"/>
      <c r="M5" s="411"/>
      <c r="N5" s="412"/>
      <c r="U5" s="137"/>
      <c r="V5" s="137"/>
      <c r="W5" s="137"/>
      <c r="Y5" s="137"/>
      <c r="AA5" s="136"/>
      <c r="AB5" s="136" t="str">
        <f>IF(B6&gt;239.99,"II","")</f>
        <v/>
      </c>
      <c r="AC5" s="136" t="str">
        <f>IF(B6&gt;254.99,"I","")</f>
        <v/>
      </c>
    </row>
    <row r="6" spans="2:41" ht="13.5" customHeight="1" thickBot="1" x14ac:dyDescent="0.25">
      <c r="B6" s="413">
        <f>N38</f>
        <v>0</v>
      </c>
      <c r="C6" s="415" t="s">
        <v>2</v>
      </c>
      <c r="D6" s="417"/>
      <c r="E6" s="419" t="s">
        <v>3</v>
      </c>
      <c r="F6" s="421" t="s">
        <v>154</v>
      </c>
      <c r="G6" s="422"/>
      <c r="H6" s="422"/>
      <c r="I6" s="422"/>
      <c r="J6" s="422"/>
      <c r="K6" s="422"/>
      <c r="L6" s="422"/>
      <c r="M6" s="422"/>
      <c r="N6" s="423"/>
      <c r="S6" s="3"/>
      <c r="V6" s="3"/>
      <c r="X6" s="3"/>
    </row>
    <row r="7" spans="2:41" s="7" customFormat="1" ht="11.25" customHeight="1" thickBot="1" x14ac:dyDescent="0.25">
      <c r="B7" s="414"/>
      <c r="C7" s="416"/>
      <c r="D7" s="418"/>
      <c r="E7" s="420"/>
      <c r="F7" s="4" t="s">
        <v>5</v>
      </c>
      <c r="G7" s="424" t="s">
        <v>6</v>
      </c>
      <c r="H7" s="424"/>
      <c r="I7" s="424"/>
      <c r="J7" s="424"/>
      <c r="K7" s="424" t="s">
        <v>7</v>
      </c>
      <c r="L7" s="424"/>
      <c r="M7" s="404" t="s">
        <v>185</v>
      </c>
      <c r="N7" s="405"/>
      <c r="R7" s="8" t="s">
        <v>8</v>
      </c>
      <c r="S7" s="9" t="s">
        <v>9</v>
      </c>
      <c r="W7" s="404" t="s">
        <v>185</v>
      </c>
      <c r="X7" s="405"/>
    </row>
    <row r="8" spans="2:41" s="13" customFormat="1" ht="18.75" customHeight="1" thickBot="1" x14ac:dyDescent="0.25">
      <c r="B8" s="414"/>
      <c r="C8" s="416"/>
      <c r="D8" s="418"/>
      <c r="E8" s="420"/>
      <c r="F8" s="58" t="s">
        <v>10</v>
      </c>
      <c r="G8" s="406" t="s">
        <v>11</v>
      </c>
      <c r="H8" s="406"/>
      <c r="I8" s="406"/>
      <c r="J8" s="406"/>
      <c r="K8" s="406" t="s">
        <v>12</v>
      </c>
      <c r="L8" s="406"/>
      <c r="M8" s="407" t="s">
        <v>60</v>
      </c>
      <c r="N8" s="408"/>
      <c r="R8" s="14" t="s">
        <v>13</v>
      </c>
      <c r="S8" s="15" t="s">
        <v>14</v>
      </c>
      <c r="W8" s="407" t="s">
        <v>60</v>
      </c>
      <c r="X8" s="408"/>
      <c r="AA8" s="133"/>
      <c r="AB8" s="133"/>
      <c r="AC8" s="133"/>
    </row>
    <row r="9" spans="2:41" s="13" customFormat="1" ht="15.75" customHeight="1" x14ac:dyDescent="0.2">
      <c r="B9" s="367"/>
      <c r="C9" s="379" t="s">
        <v>17</v>
      </c>
      <c r="D9" s="379"/>
      <c r="E9" s="374" t="s">
        <v>18</v>
      </c>
      <c r="F9" s="16">
        <v>1</v>
      </c>
      <c r="G9" s="375" t="s">
        <v>15</v>
      </c>
      <c r="H9" s="375"/>
      <c r="I9" s="376"/>
      <c r="J9" s="208"/>
      <c r="K9" s="360" t="s">
        <v>181</v>
      </c>
      <c r="L9" s="361">
        <f>TRUNC(V9,2)</f>
        <v>0</v>
      </c>
      <c r="M9" s="362" t="s">
        <v>186</v>
      </c>
      <c r="N9" s="363">
        <f>ABS(Y9)</f>
        <v>0</v>
      </c>
      <c r="U9" s="402" t="s">
        <v>181</v>
      </c>
      <c r="V9" s="402">
        <f>J9+J10</f>
        <v>0</v>
      </c>
      <c r="W9" s="365" t="s">
        <v>186</v>
      </c>
      <c r="X9" s="366">
        <f>J9-J10</f>
        <v>0</v>
      </c>
      <c r="Y9" s="366">
        <f>ROUND(X9,1)</f>
        <v>0</v>
      </c>
      <c r="AA9" s="133" t="str">
        <f>IF(B6&gt;224.99,AA15,"")</f>
        <v/>
      </c>
      <c r="AB9" s="133" t="str">
        <f>IF(B6&gt;239.99,AB15,"")</f>
        <v/>
      </c>
      <c r="AC9" s="133" t="str">
        <f>IF(B6&gt;254.99,AC15,"")</f>
        <v/>
      </c>
    </row>
    <row r="10" spans="2:41" s="13" customFormat="1" ht="15.75" customHeight="1" x14ac:dyDescent="0.2">
      <c r="B10" s="367"/>
      <c r="C10" s="379"/>
      <c r="D10" s="379"/>
      <c r="E10" s="374"/>
      <c r="F10" s="16">
        <v>2</v>
      </c>
      <c r="G10" s="375" t="s">
        <v>19</v>
      </c>
      <c r="H10" s="375"/>
      <c r="I10" s="376"/>
      <c r="J10" s="209"/>
      <c r="K10" s="360"/>
      <c r="L10" s="361"/>
      <c r="M10" s="362"/>
      <c r="N10" s="363"/>
      <c r="U10" s="365"/>
      <c r="V10" s="365"/>
      <c r="W10" s="365"/>
      <c r="X10" s="365"/>
      <c r="Y10" s="365"/>
      <c r="AA10" s="133"/>
      <c r="AB10" s="134">
        <f>MIN(AA9,AB9,AC9)</f>
        <v>0</v>
      </c>
      <c r="AC10" s="133"/>
    </row>
    <row r="11" spans="2:41" s="142" customFormat="1" ht="24" customHeight="1" x14ac:dyDescent="0.2">
      <c r="B11" s="367"/>
      <c r="C11" s="395" t="s">
        <v>21</v>
      </c>
      <c r="D11" s="395"/>
      <c r="E11" s="374" t="s">
        <v>22</v>
      </c>
      <c r="F11" s="145">
        <v>37</v>
      </c>
      <c r="G11" s="396" t="s">
        <v>155</v>
      </c>
      <c r="H11" s="396"/>
      <c r="I11" s="397"/>
      <c r="J11" s="209"/>
      <c r="K11" s="148" t="s">
        <v>180</v>
      </c>
      <c r="L11" s="140">
        <f>MAX(Y12,Z12)</f>
        <v>0</v>
      </c>
      <c r="M11" s="141"/>
      <c r="N11" s="146"/>
      <c r="U11" s="143" t="s">
        <v>180</v>
      </c>
      <c r="V11" s="210">
        <f>MAX(J9,J10)</f>
        <v>0</v>
      </c>
      <c r="W11" s="144"/>
      <c r="X11" s="144"/>
      <c r="Y11" s="210">
        <f>V11-J11</f>
        <v>0</v>
      </c>
      <c r="Z11" s="210">
        <f>J11-V11</f>
        <v>0</v>
      </c>
      <c r="AA11" s="150"/>
      <c r="AB11" s="150" t="str">
        <f>ROMAN(AB10)</f>
        <v/>
      </c>
      <c r="AC11" s="150"/>
    </row>
    <row r="12" spans="2:41" s="13" customFormat="1" ht="15.75" customHeight="1" x14ac:dyDescent="0.2">
      <c r="B12" s="367"/>
      <c r="C12" s="395"/>
      <c r="D12" s="395"/>
      <c r="E12" s="374"/>
      <c r="F12" s="398">
        <v>38</v>
      </c>
      <c r="G12" s="399" t="s">
        <v>226</v>
      </c>
      <c r="H12" s="399"/>
      <c r="I12" s="400"/>
      <c r="J12" s="401"/>
      <c r="K12" s="384"/>
      <c r="L12" s="385"/>
      <c r="M12" s="393" t="s">
        <v>182</v>
      </c>
      <c r="N12" s="364"/>
      <c r="U12" s="394"/>
      <c r="V12" s="394"/>
      <c r="W12" s="403" t="s">
        <v>182</v>
      </c>
      <c r="X12" s="365"/>
      <c r="Y12" s="13">
        <f>(IF(Y11&gt;0,"",V11))</f>
        <v>0</v>
      </c>
      <c r="Z12" s="13">
        <f>(IF(Z11&gt;0,"",J11))</f>
        <v>0</v>
      </c>
      <c r="AA12" s="133"/>
      <c r="AB12" s="133"/>
      <c r="AC12" s="133"/>
    </row>
    <row r="13" spans="2:41" s="13" customFormat="1" ht="15.75" customHeight="1" x14ac:dyDescent="0.2">
      <c r="B13" s="367"/>
      <c r="C13" s="395"/>
      <c r="D13" s="395"/>
      <c r="E13" s="374"/>
      <c r="F13" s="398"/>
      <c r="G13" s="399"/>
      <c r="H13" s="399"/>
      <c r="I13" s="400"/>
      <c r="J13" s="401"/>
      <c r="K13" s="384"/>
      <c r="L13" s="385"/>
      <c r="M13" s="393"/>
      <c r="N13" s="364"/>
      <c r="U13" s="394"/>
      <c r="V13" s="394"/>
      <c r="W13" s="403"/>
      <c r="X13" s="365"/>
      <c r="AA13" s="133"/>
      <c r="AB13" s="133"/>
      <c r="AC13" s="133"/>
    </row>
    <row r="14" spans="2:41" s="13" customFormat="1" ht="15.75" customHeight="1" x14ac:dyDescent="0.2">
      <c r="B14" s="386"/>
      <c r="C14" s="387" t="s">
        <v>26</v>
      </c>
      <c r="D14" s="387" t="s">
        <v>27</v>
      </c>
      <c r="E14" s="390" t="s">
        <v>28</v>
      </c>
      <c r="F14" s="16">
        <v>39</v>
      </c>
      <c r="G14" s="383" t="s">
        <v>156</v>
      </c>
      <c r="H14" s="375" t="s">
        <v>157</v>
      </c>
      <c r="I14" s="376"/>
      <c r="J14" s="209"/>
      <c r="K14" s="26"/>
      <c r="L14" s="138"/>
      <c r="M14" s="362" t="s">
        <v>183</v>
      </c>
      <c r="N14" s="170">
        <f>J14</f>
        <v>0</v>
      </c>
      <c r="U14" s="365"/>
      <c r="V14" s="365"/>
      <c r="W14" s="365" t="s">
        <v>181</v>
      </c>
      <c r="AA14" s="133"/>
      <c r="AB14" s="133"/>
      <c r="AC14" s="133"/>
      <c r="AK14" s="262"/>
      <c r="AL14" s="263"/>
      <c r="AN14" s="262"/>
      <c r="AO14" s="263"/>
    </row>
    <row r="15" spans="2:41" s="13" customFormat="1" ht="15.75" customHeight="1" x14ac:dyDescent="0.2">
      <c r="B15" s="367"/>
      <c r="C15" s="388"/>
      <c r="D15" s="388"/>
      <c r="E15" s="391"/>
      <c r="F15" s="16">
        <v>40</v>
      </c>
      <c r="G15" s="383"/>
      <c r="H15" s="375" t="s">
        <v>158</v>
      </c>
      <c r="I15" s="376"/>
      <c r="J15" s="209"/>
      <c r="K15" s="384"/>
      <c r="L15" s="385"/>
      <c r="M15" s="362"/>
      <c r="N15" s="170">
        <f>J15</f>
        <v>0</v>
      </c>
      <c r="U15" s="365"/>
      <c r="V15" s="365"/>
      <c r="W15" s="365"/>
      <c r="AA15" s="133">
        <v>3</v>
      </c>
      <c r="AB15" s="133">
        <v>2</v>
      </c>
      <c r="AC15" s="133">
        <v>1</v>
      </c>
      <c r="AK15" s="262"/>
      <c r="AL15" s="263"/>
      <c r="AN15" s="262"/>
      <c r="AO15" s="263"/>
    </row>
    <row r="16" spans="2:41" s="13" customFormat="1" ht="15.75" customHeight="1" x14ac:dyDescent="0.2">
      <c r="B16" s="367"/>
      <c r="C16" s="388"/>
      <c r="D16" s="388"/>
      <c r="E16" s="391"/>
      <c r="F16" s="16">
        <v>41</v>
      </c>
      <c r="G16" s="383"/>
      <c r="H16" s="375" t="s">
        <v>159</v>
      </c>
      <c r="I16" s="376"/>
      <c r="J16" s="209"/>
      <c r="K16" s="384"/>
      <c r="L16" s="385"/>
      <c r="M16" s="362"/>
      <c r="N16" s="170">
        <f>J16</f>
        <v>0</v>
      </c>
      <c r="U16" s="365"/>
      <c r="V16" s="365"/>
      <c r="W16" s="365"/>
      <c r="AA16" s="133"/>
      <c r="AB16" s="133"/>
      <c r="AC16" s="133"/>
      <c r="AK16" s="262"/>
      <c r="AL16" s="263"/>
      <c r="AN16" s="262"/>
      <c r="AO16" s="263"/>
    </row>
    <row r="17" spans="2:42" s="13" customFormat="1" ht="15.75" customHeight="1" x14ac:dyDescent="0.2">
      <c r="B17" s="367"/>
      <c r="C17" s="389"/>
      <c r="D17" s="389"/>
      <c r="E17" s="392"/>
      <c r="F17" s="16">
        <v>42</v>
      </c>
      <c r="G17" s="383"/>
      <c r="H17" s="375" t="s">
        <v>160</v>
      </c>
      <c r="I17" s="376"/>
      <c r="J17" s="209"/>
      <c r="K17" s="26"/>
      <c r="L17" s="138"/>
      <c r="M17" s="362"/>
      <c r="N17" s="170">
        <f>J17</f>
        <v>0</v>
      </c>
      <c r="U17" s="365"/>
      <c r="V17" s="365"/>
      <c r="W17" s="365"/>
      <c r="AA17" s="133"/>
      <c r="AB17" s="133"/>
      <c r="AC17" s="133"/>
      <c r="AK17" s="262"/>
      <c r="AL17" s="263"/>
      <c r="AN17" s="262"/>
      <c r="AO17" s="263"/>
    </row>
    <row r="18" spans="2:42" s="13" customFormat="1" ht="15.75" customHeight="1" x14ac:dyDescent="0.2">
      <c r="B18" s="18"/>
      <c r="C18" s="64"/>
      <c r="D18" s="64"/>
      <c r="E18" s="168"/>
      <c r="F18" s="16">
        <v>43</v>
      </c>
      <c r="G18" s="383" t="s">
        <v>156</v>
      </c>
      <c r="H18" s="375" t="s">
        <v>161</v>
      </c>
      <c r="I18" s="376"/>
      <c r="J18" s="209"/>
      <c r="K18" s="360" t="s">
        <v>183</v>
      </c>
      <c r="L18" s="361">
        <f>TRUNC(V18,2)</f>
        <v>0</v>
      </c>
      <c r="M18" s="362" t="s">
        <v>186</v>
      </c>
      <c r="N18" s="363">
        <f>ABS(Y18)</f>
        <v>0</v>
      </c>
      <c r="U18" s="365" t="s">
        <v>183</v>
      </c>
      <c r="V18" s="366">
        <f>J18+J19</f>
        <v>0</v>
      </c>
      <c r="W18" s="365" t="s">
        <v>186</v>
      </c>
      <c r="X18" s="366">
        <f>J18-J19</f>
        <v>0</v>
      </c>
      <c r="Y18" s="366">
        <f>ROUND(X18,1)</f>
        <v>0</v>
      </c>
      <c r="Z18" s="134"/>
      <c r="AB18" s="135" t="s">
        <v>146</v>
      </c>
      <c r="AC18" s="133"/>
      <c r="AD18" s="133"/>
      <c r="AE18" s="13" t="str">
        <f>(IF(AB10=3,AB18,""))</f>
        <v/>
      </c>
      <c r="AL18" s="262"/>
      <c r="AM18" s="263"/>
      <c r="AO18" s="262"/>
      <c r="AP18" s="263"/>
    </row>
    <row r="19" spans="2:42" s="13" customFormat="1" ht="15.75" customHeight="1" x14ac:dyDescent="0.2">
      <c r="B19" s="380"/>
      <c r="C19" s="379" t="s">
        <v>37</v>
      </c>
      <c r="D19" s="379"/>
      <c r="E19" s="374" t="s">
        <v>38</v>
      </c>
      <c r="F19" s="16">
        <v>44</v>
      </c>
      <c r="G19" s="383"/>
      <c r="H19" s="375" t="s">
        <v>162</v>
      </c>
      <c r="I19" s="376"/>
      <c r="J19" s="209"/>
      <c r="K19" s="360"/>
      <c r="L19" s="361"/>
      <c r="M19" s="362"/>
      <c r="N19" s="364"/>
      <c r="U19" s="365"/>
      <c r="V19" s="366"/>
      <c r="W19" s="365"/>
      <c r="X19" s="366"/>
      <c r="Y19" s="366"/>
      <c r="Z19" s="134"/>
      <c r="AB19" s="135" t="s">
        <v>147</v>
      </c>
      <c r="AC19" s="133"/>
      <c r="AD19" s="133"/>
      <c r="AE19" s="13" t="str">
        <f>(IF(AB10=2,AB19,""))</f>
        <v/>
      </c>
      <c r="AL19" s="262"/>
      <c r="AM19" s="263"/>
      <c r="AO19" s="262"/>
      <c r="AP19" s="263"/>
    </row>
    <row r="20" spans="2:42" s="13" customFormat="1" ht="15.75" customHeight="1" x14ac:dyDescent="0.2">
      <c r="B20" s="381"/>
      <c r="C20" s="379"/>
      <c r="D20" s="379"/>
      <c r="E20" s="374"/>
      <c r="F20" s="16">
        <v>45</v>
      </c>
      <c r="G20" s="383"/>
      <c r="H20" s="375" t="s">
        <v>163</v>
      </c>
      <c r="I20" s="376"/>
      <c r="J20" s="209"/>
      <c r="K20" s="360" t="s">
        <v>183</v>
      </c>
      <c r="L20" s="361">
        <f>TRUNC(V20,2)</f>
        <v>0</v>
      </c>
      <c r="M20" s="362" t="s">
        <v>186</v>
      </c>
      <c r="N20" s="363">
        <f>ABS(Y20)</f>
        <v>0</v>
      </c>
      <c r="U20" s="365" t="s">
        <v>183</v>
      </c>
      <c r="V20" s="366">
        <f>J20+J21</f>
        <v>0</v>
      </c>
      <c r="W20" s="365" t="s">
        <v>186</v>
      </c>
      <c r="X20" s="366">
        <f>J20-J21</f>
        <v>0</v>
      </c>
      <c r="Y20" s="366">
        <f t="shared" ref="Y20" si="0">ROUND(X20,1)</f>
        <v>0</v>
      </c>
      <c r="Z20" s="366">
        <f>TRUNC(Y20,2)</f>
        <v>0</v>
      </c>
      <c r="AB20" s="135" t="s">
        <v>190</v>
      </c>
      <c r="AC20" s="133"/>
      <c r="AD20" s="133"/>
      <c r="AE20" s="13" t="str">
        <f>(IF(AB10=1,AB20,""))</f>
        <v/>
      </c>
      <c r="AL20" s="262"/>
      <c r="AM20" s="263"/>
      <c r="AO20" s="262"/>
      <c r="AP20" s="263"/>
    </row>
    <row r="21" spans="2:42" s="13" customFormat="1" ht="15.75" customHeight="1" x14ac:dyDescent="0.2">
      <c r="B21" s="381"/>
      <c r="C21" s="379" t="s">
        <v>42</v>
      </c>
      <c r="D21" s="379" t="s">
        <v>43</v>
      </c>
      <c r="E21" s="374" t="s">
        <v>44</v>
      </c>
      <c r="F21" s="16">
        <v>46</v>
      </c>
      <c r="G21" s="383"/>
      <c r="H21" s="375" t="s">
        <v>164</v>
      </c>
      <c r="I21" s="376"/>
      <c r="J21" s="209"/>
      <c r="K21" s="360"/>
      <c r="L21" s="361"/>
      <c r="M21" s="362"/>
      <c r="N21" s="364"/>
      <c r="U21" s="365"/>
      <c r="V21" s="366"/>
      <c r="W21" s="365"/>
      <c r="X21" s="366"/>
      <c r="Y21" s="366"/>
      <c r="Z21" s="366"/>
      <c r="AB21" s="133"/>
      <c r="AC21" s="133"/>
      <c r="AD21" s="133"/>
      <c r="AE21" s="13" t="str">
        <f>CONCATENATE(AE20,AE19,AE18)</f>
        <v/>
      </c>
      <c r="AL21" s="262"/>
      <c r="AM21" s="263"/>
      <c r="AO21" s="262"/>
      <c r="AP21" s="263"/>
    </row>
    <row r="22" spans="2:42" s="13" customFormat="1" ht="15.75" customHeight="1" x14ac:dyDescent="0.2">
      <c r="B22" s="381"/>
      <c r="C22" s="379"/>
      <c r="D22" s="379"/>
      <c r="E22" s="374"/>
      <c r="F22" s="16">
        <v>47</v>
      </c>
      <c r="G22" s="383"/>
      <c r="H22" s="375" t="s">
        <v>165</v>
      </c>
      <c r="I22" s="376"/>
      <c r="J22" s="209"/>
      <c r="K22" s="360" t="s">
        <v>183</v>
      </c>
      <c r="L22" s="361">
        <f>TRUNC(V22,2)</f>
        <v>0</v>
      </c>
      <c r="M22" s="362" t="s">
        <v>186</v>
      </c>
      <c r="N22" s="363">
        <f>ABS(Y22)</f>
        <v>0</v>
      </c>
      <c r="U22" s="365" t="s">
        <v>183</v>
      </c>
      <c r="V22" s="366">
        <f>J22+J23</f>
        <v>0</v>
      </c>
      <c r="W22" s="365" t="s">
        <v>186</v>
      </c>
      <c r="X22" s="366">
        <f>J22-J23</f>
        <v>0</v>
      </c>
      <c r="Y22" s="366">
        <f t="shared" ref="Y22" si="1">ROUND(X22,1)</f>
        <v>0</v>
      </c>
      <c r="Z22" s="366">
        <f>TRUNC(Y22,2)</f>
        <v>0</v>
      </c>
      <c r="AB22" s="133"/>
      <c r="AC22" s="133"/>
      <c r="AD22" s="133"/>
      <c r="AL22" s="262"/>
      <c r="AM22" s="263"/>
      <c r="AO22" s="262"/>
      <c r="AP22" s="263"/>
    </row>
    <row r="23" spans="2:42" s="13" customFormat="1" ht="15.75" customHeight="1" x14ac:dyDescent="0.2">
      <c r="B23" s="382"/>
      <c r="C23" s="379"/>
      <c r="D23" s="379"/>
      <c r="E23" s="374"/>
      <c r="F23" s="16">
        <v>48</v>
      </c>
      <c r="G23" s="383"/>
      <c r="H23" s="375" t="s">
        <v>166</v>
      </c>
      <c r="I23" s="376"/>
      <c r="J23" s="209"/>
      <c r="K23" s="360"/>
      <c r="L23" s="361"/>
      <c r="M23" s="362"/>
      <c r="N23" s="364"/>
      <c r="U23" s="365"/>
      <c r="V23" s="366"/>
      <c r="W23" s="365"/>
      <c r="X23" s="366"/>
      <c r="Y23" s="366"/>
      <c r="Z23" s="366"/>
      <c r="AA23" s="365"/>
      <c r="AB23" s="365"/>
      <c r="AC23" s="365"/>
      <c r="AD23" s="133"/>
      <c r="AL23" s="262"/>
      <c r="AM23" s="263"/>
      <c r="AO23" s="262"/>
      <c r="AP23" s="263"/>
    </row>
    <row r="24" spans="2:42" s="13" customFormat="1" ht="15.75" customHeight="1" x14ac:dyDescent="0.2">
      <c r="B24" s="378" t="s">
        <v>143</v>
      </c>
      <c r="C24" s="379" t="s">
        <v>51</v>
      </c>
      <c r="D24" s="379"/>
      <c r="E24" s="374"/>
      <c r="F24" s="16">
        <v>49</v>
      </c>
      <c r="G24" s="383"/>
      <c r="H24" s="375" t="s">
        <v>167</v>
      </c>
      <c r="I24" s="376"/>
      <c r="J24" s="209"/>
      <c r="K24" s="360" t="s">
        <v>183</v>
      </c>
      <c r="L24" s="361">
        <f>TRUNC(V24,2)</f>
        <v>0</v>
      </c>
      <c r="M24" s="362" t="s">
        <v>186</v>
      </c>
      <c r="N24" s="363">
        <f>ABS(Y24)</f>
        <v>0</v>
      </c>
      <c r="U24" s="365" t="s">
        <v>183</v>
      </c>
      <c r="V24" s="366">
        <f>J24+J25</f>
        <v>0</v>
      </c>
      <c r="W24" s="365" t="s">
        <v>186</v>
      </c>
      <c r="X24" s="366">
        <f>J24-J25</f>
        <v>0</v>
      </c>
      <c r="Y24" s="366">
        <f t="shared" ref="Y24" si="2">ROUND(X24,1)</f>
        <v>0</v>
      </c>
      <c r="Z24" s="366">
        <f>TRUNC(Y24,2)</f>
        <v>0</v>
      </c>
      <c r="AB24" s="133"/>
      <c r="AC24" s="133"/>
      <c r="AD24" s="133"/>
      <c r="AL24" s="262"/>
      <c r="AM24" s="263"/>
      <c r="AO24" s="262"/>
      <c r="AP24" s="263"/>
    </row>
    <row r="25" spans="2:42" s="13" customFormat="1" ht="15.75" customHeight="1" x14ac:dyDescent="0.2">
      <c r="B25" s="378"/>
      <c r="C25" s="379"/>
      <c r="D25" s="379"/>
      <c r="E25" s="374"/>
      <c r="F25" s="16">
        <v>50</v>
      </c>
      <c r="G25" s="383"/>
      <c r="H25" s="375" t="s">
        <v>168</v>
      </c>
      <c r="I25" s="376"/>
      <c r="J25" s="209"/>
      <c r="K25" s="360"/>
      <c r="L25" s="361"/>
      <c r="M25" s="362"/>
      <c r="N25" s="364"/>
      <c r="U25" s="365"/>
      <c r="V25" s="366"/>
      <c r="W25" s="365"/>
      <c r="X25" s="366"/>
      <c r="Y25" s="366"/>
      <c r="Z25" s="366"/>
      <c r="AB25" s="272" t="str">
        <f>IF(B6&gt;259.99,"Význačná trofej","")</f>
        <v/>
      </c>
      <c r="AC25" s="133"/>
      <c r="AD25" s="133"/>
      <c r="AL25" s="262"/>
      <c r="AM25" s="263"/>
      <c r="AO25" s="262"/>
      <c r="AP25" s="263"/>
    </row>
    <row r="26" spans="2:42" s="13" customFormat="1" ht="15.75" customHeight="1" x14ac:dyDescent="0.2">
      <c r="B26" s="259" t="s">
        <v>144</v>
      </c>
      <c r="C26" s="67" t="s">
        <v>56</v>
      </c>
      <c r="D26" s="379"/>
      <c r="E26" s="374"/>
      <c r="F26" s="16">
        <v>51</v>
      </c>
      <c r="G26" s="383"/>
      <c r="H26" s="375" t="s">
        <v>169</v>
      </c>
      <c r="I26" s="376"/>
      <c r="J26" s="209"/>
      <c r="K26" s="360" t="s">
        <v>183</v>
      </c>
      <c r="L26" s="361">
        <f>TRUNC(V26,2)</f>
        <v>0</v>
      </c>
      <c r="M26" s="362" t="s">
        <v>186</v>
      </c>
      <c r="N26" s="363">
        <f>ABS(Y26)</f>
        <v>0</v>
      </c>
      <c r="U26" s="365" t="s">
        <v>183</v>
      </c>
      <c r="V26" s="366">
        <f>J26+J27</f>
        <v>0</v>
      </c>
      <c r="W26" s="365" t="s">
        <v>186</v>
      </c>
      <c r="X26" s="366">
        <f>J26-J27</f>
        <v>0</v>
      </c>
      <c r="Y26" s="366">
        <f t="shared" ref="Y26" si="3">ROUND(X26,1)</f>
        <v>0</v>
      </c>
      <c r="Z26" s="366">
        <f>TRUNC(Y26,2)</f>
        <v>0</v>
      </c>
      <c r="AB26" s="133"/>
      <c r="AC26" s="133"/>
      <c r="AD26" s="133"/>
      <c r="AL26" s="262"/>
      <c r="AM26" s="263"/>
      <c r="AO26" s="262"/>
      <c r="AP26" s="263"/>
    </row>
    <row r="27" spans="2:42" s="13" customFormat="1" ht="15.75" customHeight="1" x14ac:dyDescent="0.2">
      <c r="B27" s="367"/>
      <c r="C27" s="368" t="s">
        <v>58</v>
      </c>
      <c r="D27" s="369"/>
      <c r="E27" s="374" t="s">
        <v>59</v>
      </c>
      <c r="F27" s="16">
        <v>52</v>
      </c>
      <c r="G27" s="383"/>
      <c r="H27" s="375" t="s">
        <v>170</v>
      </c>
      <c r="I27" s="376"/>
      <c r="J27" s="209"/>
      <c r="K27" s="360"/>
      <c r="L27" s="361"/>
      <c r="M27" s="362"/>
      <c r="N27" s="364"/>
      <c r="U27" s="365"/>
      <c r="V27" s="366"/>
      <c r="W27" s="365"/>
      <c r="X27" s="366"/>
      <c r="Y27" s="366"/>
      <c r="Z27" s="366"/>
      <c r="AB27" s="133"/>
      <c r="AC27" s="133"/>
      <c r="AD27" s="133"/>
      <c r="AL27" s="262"/>
      <c r="AM27" s="263"/>
      <c r="AO27" s="262"/>
      <c r="AP27" s="263"/>
    </row>
    <row r="28" spans="2:42" s="13" customFormat="1" ht="15.75" customHeight="1" x14ac:dyDescent="0.2">
      <c r="B28" s="367"/>
      <c r="C28" s="370"/>
      <c r="D28" s="371"/>
      <c r="E28" s="374"/>
      <c r="F28" s="16">
        <v>53</v>
      </c>
      <c r="G28" s="383"/>
      <c r="H28" s="375" t="s">
        <v>171</v>
      </c>
      <c r="I28" s="376"/>
      <c r="J28" s="209"/>
      <c r="K28" s="360" t="s">
        <v>183</v>
      </c>
      <c r="L28" s="361">
        <f>TRUNC(V28,2)</f>
        <v>0</v>
      </c>
      <c r="M28" s="362" t="s">
        <v>186</v>
      </c>
      <c r="N28" s="363">
        <f>ABS(Y28)</f>
        <v>0</v>
      </c>
      <c r="U28" s="365" t="s">
        <v>183</v>
      </c>
      <c r="V28" s="366">
        <f>J28+J29</f>
        <v>0</v>
      </c>
      <c r="W28" s="365" t="s">
        <v>186</v>
      </c>
      <c r="X28" s="366">
        <f>J28-J29</f>
        <v>0</v>
      </c>
      <c r="Y28" s="366">
        <f t="shared" ref="Y28" si="4">ROUND(X28,1)</f>
        <v>0</v>
      </c>
      <c r="Z28" s="366">
        <f>TRUNC(Y28,2)</f>
        <v>0</v>
      </c>
      <c r="AB28" s="133"/>
      <c r="AC28" s="133"/>
      <c r="AD28" s="133"/>
      <c r="AL28" s="262"/>
      <c r="AM28" s="263"/>
      <c r="AO28" s="262"/>
      <c r="AP28" s="263"/>
    </row>
    <row r="29" spans="2:42" ht="12" customHeight="1" x14ac:dyDescent="0.2">
      <c r="B29" s="367"/>
      <c r="C29" s="370"/>
      <c r="D29" s="371"/>
      <c r="E29" s="374"/>
      <c r="F29" s="16">
        <v>54</v>
      </c>
      <c r="G29" s="383"/>
      <c r="H29" s="375" t="s">
        <v>172</v>
      </c>
      <c r="I29" s="376"/>
      <c r="J29" s="211"/>
      <c r="K29" s="360"/>
      <c r="L29" s="361"/>
      <c r="M29" s="362"/>
      <c r="N29" s="364"/>
      <c r="S29" s="3"/>
      <c r="U29" s="365"/>
      <c r="V29" s="366"/>
      <c r="W29" s="365"/>
      <c r="X29" s="366"/>
      <c r="Y29" s="366"/>
      <c r="Z29" s="366"/>
      <c r="AA29" s="13"/>
      <c r="AB29" s="133"/>
      <c r="AC29" s="133"/>
      <c r="AD29" s="52"/>
      <c r="AL29" s="262"/>
      <c r="AM29" s="263"/>
      <c r="AO29" s="262"/>
      <c r="AP29" s="263"/>
    </row>
    <row r="30" spans="2:42" ht="18.75" customHeight="1" x14ac:dyDescent="0.2">
      <c r="B30" s="367"/>
      <c r="C30" s="370"/>
      <c r="D30" s="371"/>
      <c r="E30" s="374"/>
      <c r="F30" s="147">
        <v>57</v>
      </c>
      <c r="G30" s="377" t="s">
        <v>173</v>
      </c>
      <c r="H30" s="358" t="s">
        <v>174</v>
      </c>
      <c r="I30" s="359"/>
      <c r="J30" s="211"/>
      <c r="K30" s="360" t="s">
        <v>184</v>
      </c>
      <c r="L30" s="361">
        <f>TRUNC(V30,2)</f>
        <v>0</v>
      </c>
      <c r="M30" s="362" t="s">
        <v>187</v>
      </c>
      <c r="N30" s="363">
        <f>ABS(Y30)</f>
        <v>0</v>
      </c>
      <c r="S30" s="3"/>
      <c r="U30" s="365" t="s">
        <v>184</v>
      </c>
      <c r="V30" s="366">
        <f>J30+J31</f>
        <v>0</v>
      </c>
      <c r="W30" s="365" t="s">
        <v>187</v>
      </c>
      <c r="X30" s="366">
        <f>J30-J31</f>
        <v>0</v>
      </c>
      <c r="Y30" s="366">
        <f t="shared" ref="Y30" si="5">ROUND(X30,1)</f>
        <v>0</v>
      </c>
      <c r="Z30" s="366">
        <f>TRUNC(Y30,2)</f>
        <v>0</v>
      </c>
      <c r="AA30" s="3"/>
      <c r="AD30" s="52"/>
      <c r="AL30" s="262"/>
      <c r="AM30" s="263"/>
      <c r="AO30" s="262"/>
      <c r="AP30" s="263"/>
    </row>
    <row r="31" spans="2:42" ht="18.75" customHeight="1" x14ac:dyDescent="0.2">
      <c r="B31" s="367"/>
      <c r="C31" s="370"/>
      <c r="D31" s="371"/>
      <c r="E31" s="374"/>
      <c r="F31" s="147">
        <v>58</v>
      </c>
      <c r="G31" s="377"/>
      <c r="H31" s="358" t="s">
        <v>175</v>
      </c>
      <c r="I31" s="359"/>
      <c r="J31" s="211"/>
      <c r="K31" s="360"/>
      <c r="L31" s="361"/>
      <c r="M31" s="362"/>
      <c r="N31" s="364"/>
      <c r="S31" s="3"/>
      <c r="U31" s="365"/>
      <c r="V31" s="366"/>
      <c r="W31" s="365"/>
      <c r="X31" s="366"/>
      <c r="Y31" s="366"/>
      <c r="Z31" s="366"/>
      <c r="AA31" s="3"/>
      <c r="AD31" s="52"/>
      <c r="AL31" s="262"/>
      <c r="AM31" s="263"/>
      <c r="AO31" s="262"/>
      <c r="AP31" s="263"/>
    </row>
    <row r="32" spans="2:42" ht="18.75" customHeight="1" x14ac:dyDescent="0.2">
      <c r="B32" s="367"/>
      <c r="C32" s="370"/>
      <c r="D32" s="371"/>
      <c r="E32" s="374"/>
      <c r="F32" s="147">
        <v>59</v>
      </c>
      <c r="G32" s="377"/>
      <c r="H32" s="358" t="s">
        <v>176</v>
      </c>
      <c r="I32" s="359"/>
      <c r="J32" s="211"/>
      <c r="K32" s="360" t="s">
        <v>184</v>
      </c>
      <c r="L32" s="361">
        <f>TRUNC(V32,2)</f>
        <v>0</v>
      </c>
      <c r="M32" s="362" t="s">
        <v>187</v>
      </c>
      <c r="N32" s="363">
        <f>ABS(Y32)</f>
        <v>0</v>
      </c>
      <c r="S32" s="3"/>
      <c r="U32" s="365" t="s">
        <v>184</v>
      </c>
      <c r="V32" s="366">
        <f>J32+J33</f>
        <v>0</v>
      </c>
      <c r="W32" s="365" t="s">
        <v>187</v>
      </c>
      <c r="X32" s="366">
        <f>J32-J33</f>
        <v>0</v>
      </c>
      <c r="Y32" s="366">
        <f t="shared" ref="Y32" si="6">ROUND(X32,1)</f>
        <v>0</v>
      </c>
      <c r="Z32" s="366">
        <f>TRUNC(Y32,2)</f>
        <v>0</v>
      </c>
      <c r="AA32" s="3"/>
      <c r="AD32" s="52"/>
      <c r="AL32" s="262"/>
      <c r="AM32" s="263"/>
      <c r="AO32" s="262"/>
      <c r="AP32" s="263"/>
    </row>
    <row r="33" spans="2:42" ht="18.75" customHeight="1" thickBot="1" x14ac:dyDescent="0.25">
      <c r="B33" s="367"/>
      <c r="C33" s="370"/>
      <c r="D33" s="371"/>
      <c r="E33" s="374"/>
      <c r="F33" s="147">
        <v>60</v>
      </c>
      <c r="G33" s="377"/>
      <c r="H33" s="358" t="s">
        <v>177</v>
      </c>
      <c r="I33" s="359"/>
      <c r="J33" s="212"/>
      <c r="K33" s="360"/>
      <c r="L33" s="361"/>
      <c r="M33" s="362"/>
      <c r="N33" s="364"/>
      <c r="S33" s="3"/>
      <c r="U33" s="365"/>
      <c r="V33" s="366"/>
      <c r="W33" s="365"/>
      <c r="X33" s="366"/>
      <c r="Y33" s="366"/>
      <c r="Z33" s="366"/>
      <c r="AA33" s="3"/>
      <c r="AD33" s="52"/>
      <c r="AL33" s="262"/>
      <c r="AM33" s="263"/>
      <c r="AO33" s="262"/>
      <c r="AP33" s="263"/>
    </row>
    <row r="34" spans="2:42" ht="12.75" customHeight="1" x14ac:dyDescent="0.2">
      <c r="B34" s="367"/>
      <c r="C34" s="372"/>
      <c r="D34" s="373"/>
      <c r="E34" s="374"/>
      <c r="F34" s="344" t="s">
        <v>179</v>
      </c>
      <c r="G34" s="345"/>
      <c r="H34" s="345"/>
      <c r="I34" s="345"/>
      <c r="J34" s="346"/>
      <c r="K34" s="345"/>
      <c r="L34" s="347">
        <f>SUM(L9:L32)</f>
        <v>0</v>
      </c>
      <c r="M34" s="139"/>
      <c r="N34" s="348">
        <f>SUM(N9:N32)</f>
        <v>0</v>
      </c>
      <c r="S34" s="3"/>
      <c r="V34" s="3"/>
      <c r="X34" s="3"/>
      <c r="AA34" s="3"/>
      <c r="AK34" s="262"/>
      <c r="AL34" s="263"/>
      <c r="AN34" s="262"/>
      <c r="AO34" s="263"/>
    </row>
    <row r="35" spans="2:42" ht="12.75" customHeight="1" x14ac:dyDescent="0.2">
      <c r="B35" s="332"/>
      <c r="C35" s="334" t="s">
        <v>98</v>
      </c>
      <c r="D35" s="334" t="s">
        <v>69</v>
      </c>
      <c r="E35" s="336" t="s">
        <v>70</v>
      </c>
      <c r="F35" s="344"/>
      <c r="G35" s="345"/>
      <c r="H35" s="345"/>
      <c r="I35" s="345"/>
      <c r="J35" s="345"/>
      <c r="K35" s="345"/>
      <c r="L35" s="347"/>
      <c r="M35" s="139"/>
      <c r="N35" s="349"/>
      <c r="S35" s="3"/>
      <c r="V35" s="3"/>
      <c r="X35" s="3"/>
      <c r="AK35" s="262"/>
      <c r="AL35" s="263"/>
      <c r="AN35" s="262"/>
      <c r="AO35" s="263"/>
    </row>
    <row r="36" spans="2:42" ht="12.75" customHeight="1" x14ac:dyDescent="0.2">
      <c r="B36" s="332"/>
      <c r="C36" s="334"/>
      <c r="D36" s="334"/>
      <c r="E36" s="336"/>
      <c r="F36" s="151" t="s">
        <v>188</v>
      </c>
      <c r="G36" s="152"/>
      <c r="H36" s="350" t="str">
        <f>AE21</f>
        <v/>
      </c>
      <c r="I36" s="350"/>
      <c r="J36" s="351"/>
      <c r="K36" s="351"/>
      <c r="L36" s="351"/>
      <c r="M36" s="351"/>
      <c r="N36" s="153"/>
      <c r="S36" s="3"/>
      <c r="V36" s="3"/>
      <c r="X36" s="3"/>
      <c r="AK36" s="262"/>
      <c r="AL36" s="263"/>
      <c r="AN36" s="262"/>
      <c r="AO36" s="263"/>
    </row>
    <row r="37" spans="2:42" ht="18.75" customHeight="1" thickBot="1" x14ac:dyDescent="0.25">
      <c r="B37" s="332"/>
      <c r="C37" s="334"/>
      <c r="D37" s="334"/>
      <c r="E37" s="336"/>
      <c r="F37" s="154"/>
      <c r="G37" s="155"/>
      <c r="H37" s="352"/>
      <c r="I37" s="352"/>
      <c r="J37" s="353"/>
      <c r="K37" s="353"/>
      <c r="L37" s="353"/>
      <c r="M37" s="353"/>
      <c r="N37" s="156"/>
      <c r="S37" s="3"/>
      <c r="V37" s="3"/>
      <c r="X37" s="3"/>
      <c r="AN37" s="262"/>
      <c r="AO37" s="263"/>
    </row>
    <row r="38" spans="2:42" ht="17.25" customHeight="1" thickBot="1" x14ac:dyDescent="0.25">
      <c r="B38" s="332"/>
      <c r="C38" s="334"/>
      <c r="D38" s="334"/>
      <c r="E38" s="336"/>
      <c r="F38" s="44">
        <v>99</v>
      </c>
      <c r="G38" s="354" t="s">
        <v>189</v>
      </c>
      <c r="H38" s="355"/>
      <c r="I38" s="355"/>
      <c r="J38" s="264"/>
      <c r="K38" s="356" t="str">
        <f>AB25</f>
        <v/>
      </c>
      <c r="L38" s="356"/>
      <c r="M38" s="357"/>
      <c r="N38" s="149">
        <f>L34-N34</f>
        <v>0</v>
      </c>
      <c r="S38" s="3"/>
      <c r="V38" s="3"/>
      <c r="X38" s="3"/>
      <c r="AA38" s="3"/>
      <c r="AB38" s="3"/>
      <c r="AC38" s="3"/>
      <c r="AN38" s="262"/>
      <c r="AO38" s="263"/>
    </row>
    <row r="39" spans="2:42" ht="21.75" customHeight="1" x14ac:dyDescent="0.2">
      <c r="B39" s="332"/>
      <c r="C39" s="334" t="s">
        <v>72</v>
      </c>
      <c r="D39" s="334"/>
      <c r="E39" s="336" t="s">
        <v>73</v>
      </c>
      <c r="F39" s="265"/>
      <c r="G39" s="529"/>
      <c r="H39" s="530"/>
      <c r="I39" s="159"/>
      <c r="J39" s="160"/>
      <c r="K39" s="531"/>
      <c r="L39" s="532"/>
      <c r="M39" s="257"/>
      <c r="N39" s="258"/>
      <c r="S39" s="3"/>
      <c r="V39" s="3"/>
      <c r="X39" s="3"/>
      <c r="AA39" s="3"/>
      <c r="AB39" s="3"/>
      <c r="AC39" s="3"/>
      <c r="AN39" s="262"/>
      <c r="AO39" s="263"/>
    </row>
    <row r="40" spans="2:42" ht="10.5" customHeight="1" thickBot="1" x14ac:dyDescent="0.25">
      <c r="B40" s="333"/>
      <c r="C40" s="335"/>
      <c r="D40" s="335"/>
      <c r="E40" s="337"/>
      <c r="F40" s="167" t="s">
        <v>74</v>
      </c>
      <c r="G40" s="165"/>
      <c r="H40" s="165"/>
      <c r="I40" s="165" t="s">
        <v>75</v>
      </c>
      <c r="J40" s="165"/>
      <c r="K40" s="165" t="s">
        <v>76</v>
      </c>
      <c r="L40" s="165"/>
      <c r="M40" s="165" t="s">
        <v>77</v>
      </c>
      <c r="N40" s="166"/>
      <c r="S40" s="3"/>
      <c r="V40" s="3"/>
      <c r="X40" s="3"/>
      <c r="AA40" s="3"/>
      <c r="AB40" s="3"/>
      <c r="AC40" s="3"/>
      <c r="AN40" s="262"/>
      <c r="AO40" s="263"/>
    </row>
    <row r="41" spans="2:42" ht="16.5" thickBot="1" x14ac:dyDescent="0.25">
      <c r="F41" s="46"/>
      <c r="G41" s="46"/>
      <c r="H41" s="46"/>
      <c r="I41" s="46"/>
      <c r="K41" s="46"/>
      <c r="L41" s="51"/>
      <c r="M41" s="46"/>
      <c r="O41" s="46"/>
      <c r="S41" s="45"/>
      <c r="U41" s="46"/>
      <c r="V41" s="51"/>
      <c r="W41" s="46"/>
      <c r="AA41" s="3"/>
      <c r="AB41" s="3"/>
      <c r="AC41" s="3"/>
      <c r="AN41" s="262"/>
      <c r="AO41" s="263"/>
    </row>
    <row r="42" spans="2:42" x14ac:dyDescent="0.2">
      <c r="F42" s="46"/>
      <c r="G42" s="46"/>
      <c r="H42" s="46"/>
      <c r="I42" s="46"/>
      <c r="K42" s="46"/>
      <c r="L42" s="51"/>
      <c r="M42" s="46"/>
      <c r="O42" s="46"/>
      <c r="P42" s="46"/>
      <c r="Q42" s="46"/>
      <c r="R42" s="328"/>
      <c r="S42" s="329"/>
      <c r="U42" s="46"/>
      <c r="V42" s="51"/>
      <c r="W42" s="46"/>
      <c r="AA42" s="3"/>
      <c r="AB42" s="3"/>
      <c r="AC42" s="3"/>
      <c r="AN42" s="262"/>
      <c r="AO42" s="263"/>
    </row>
    <row r="43" spans="2:42" ht="13.5" thickBot="1" x14ac:dyDescent="0.25">
      <c r="F43" s="46"/>
      <c r="G43" s="46"/>
      <c r="H43" s="46"/>
      <c r="I43" s="46"/>
      <c r="K43" s="46"/>
      <c r="L43" s="51"/>
      <c r="M43" s="46"/>
      <c r="O43" s="46"/>
      <c r="P43" s="46"/>
      <c r="Q43" s="46"/>
      <c r="R43" s="330"/>
      <c r="S43" s="331"/>
      <c r="U43" s="46"/>
      <c r="V43" s="51"/>
      <c r="W43" s="46"/>
      <c r="AA43" s="3"/>
      <c r="AB43" s="3"/>
      <c r="AC43" s="3"/>
      <c r="AN43" s="262"/>
      <c r="AO43" s="263"/>
    </row>
    <row r="44" spans="2:42" x14ac:dyDescent="0.2">
      <c r="F44" s="46"/>
      <c r="G44" s="46"/>
      <c r="H44" s="46"/>
      <c r="I44" s="46"/>
      <c r="K44" s="46"/>
      <c r="L44" s="51"/>
      <c r="M44" s="46"/>
      <c r="O44" s="46"/>
      <c r="P44" s="46"/>
      <c r="Q44" s="46"/>
      <c r="R44" s="46"/>
      <c r="S44" s="51"/>
      <c r="U44" s="46"/>
      <c r="V44" s="51"/>
      <c r="W44" s="46"/>
      <c r="AA44" s="3"/>
      <c r="AB44" s="3"/>
      <c r="AC44" s="3"/>
      <c r="AN44" s="262"/>
      <c r="AO44" s="263"/>
    </row>
    <row r="45" spans="2:42" x14ac:dyDescent="0.2">
      <c r="F45" s="46"/>
      <c r="G45" s="46"/>
      <c r="H45" s="46"/>
      <c r="I45" s="46"/>
      <c r="K45" s="46"/>
      <c r="L45" s="51"/>
      <c r="M45" s="46"/>
      <c r="O45" s="46"/>
      <c r="P45" s="46"/>
      <c r="Q45" s="46"/>
      <c r="R45" s="46"/>
      <c r="S45" s="51"/>
      <c r="U45" s="46"/>
      <c r="V45" s="51"/>
      <c r="W45" s="46"/>
      <c r="AA45" s="3"/>
      <c r="AB45" s="3"/>
      <c r="AC45" s="3"/>
      <c r="AN45" s="262"/>
      <c r="AO45" s="263"/>
    </row>
    <row r="46" spans="2:42" x14ac:dyDescent="0.2">
      <c r="F46" s="46"/>
      <c r="G46" s="46"/>
      <c r="H46" s="46"/>
      <c r="I46" s="46"/>
      <c r="K46" s="46"/>
      <c r="L46" s="51"/>
      <c r="M46" s="46"/>
      <c r="O46" s="46"/>
      <c r="P46" s="46"/>
      <c r="Q46" s="46"/>
      <c r="R46" s="46"/>
      <c r="S46" s="51"/>
      <c r="U46" s="46"/>
      <c r="V46" s="51"/>
      <c r="W46" s="46"/>
      <c r="AA46" s="3"/>
      <c r="AB46" s="3"/>
      <c r="AC46" s="3"/>
    </row>
    <row r="47" spans="2:42" x14ac:dyDescent="0.2">
      <c r="F47" s="46"/>
      <c r="G47" s="46"/>
      <c r="H47" s="46"/>
      <c r="I47" s="46"/>
      <c r="K47" s="46"/>
      <c r="L47" s="51"/>
      <c r="M47" s="46"/>
      <c r="O47" s="46"/>
      <c r="P47" s="46"/>
      <c r="Q47" s="46"/>
      <c r="R47" s="46"/>
      <c r="S47" s="51"/>
      <c r="U47" s="46"/>
      <c r="V47" s="51"/>
      <c r="W47" s="46"/>
      <c r="AA47" s="3"/>
      <c r="AB47" s="3"/>
      <c r="AC47" s="3"/>
    </row>
    <row r="48" spans="2:42" x14ac:dyDescent="0.2">
      <c r="F48" s="46"/>
      <c r="G48" s="46"/>
      <c r="H48" s="46"/>
      <c r="I48" s="46"/>
      <c r="K48" s="46"/>
      <c r="L48" s="51"/>
      <c r="M48" s="46"/>
      <c r="O48" s="46"/>
      <c r="P48" s="46"/>
      <c r="Q48" s="46"/>
      <c r="R48" s="46"/>
      <c r="S48" s="51"/>
      <c r="U48" s="46"/>
      <c r="V48" s="51"/>
      <c r="W48" s="46"/>
      <c r="AA48" s="3"/>
      <c r="AB48" s="3"/>
      <c r="AC48" s="3"/>
    </row>
    <row r="49" spans="6:29" x14ac:dyDescent="0.2">
      <c r="F49" s="46"/>
      <c r="G49" s="46"/>
      <c r="H49" s="46"/>
      <c r="I49" s="46"/>
      <c r="K49" s="46"/>
      <c r="L49" s="51"/>
      <c r="M49" s="46"/>
      <c r="O49" s="46"/>
      <c r="P49" s="46"/>
      <c r="Q49" s="46"/>
      <c r="R49" s="46"/>
      <c r="S49" s="51"/>
      <c r="U49" s="46"/>
      <c r="V49" s="51"/>
      <c r="W49" s="46"/>
      <c r="AA49" s="3"/>
      <c r="AB49" s="3"/>
      <c r="AC49" s="3"/>
    </row>
    <row r="50" spans="6:29" x14ac:dyDescent="0.2">
      <c r="F50" s="46"/>
      <c r="G50" s="46"/>
      <c r="H50" s="46"/>
      <c r="I50" s="46"/>
      <c r="K50" s="46"/>
      <c r="L50" s="51"/>
      <c r="M50" s="46"/>
      <c r="O50" s="46"/>
      <c r="P50" s="46"/>
      <c r="Q50" s="46"/>
      <c r="R50" s="46"/>
      <c r="S50" s="51"/>
      <c r="U50" s="46"/>
      <c r="V50" s="51"/>
      <c r="W50" s="46"/>
      <c r="AA50" s="3"/>
      <c r="AB50" s="3"/>
      <c r="AC50" s="3"/>
    </row>
    <row r="51" spans="6:29" x14ac:dyDescent="0.2">
      <c r="F51" s="46"/>
      <c r="G51" s="46"/>
      <c r="H51" s="46"/>
      <c r="I51" s="46"/>
      <c r="K51" s="46"/>
      <c r="L51" s="51"/>
      <c r="M51" s="46"/>
      <c r="O51" s="46"/>
      <c r="P51" s="46"/>
      <c r="Q51" s="46"/>
      <c r="R51" s="46"/>
      <c r="S51" s="51"/>
      <c r="U51" s="46"/>
      <c r="V51" s="51"/>
      <c r="W51" s="46"/>
      <c r="AA51" s="3"/>
      <c r="AB51" s="3"/>
      <c r="AC51" s="3"/>
    </row>
    <row r="52" spans="6:29" x14ac:dyDescent="0.2">
      <c r="F52" s="46"/>
      <c r="G52" s="46"/>
      <c r="H52" s="46"/>
      <c r="I52" s="46"/>
      <c r="K52" s="46"/>
      <c r="L52" s="51"/>
      <c r="M52" s="46"/>
      <c r="O52" s="46"/>
      <c r="P52" s="46"/>
      <c r="Q52" s="46"/>
      <c r="R52" s="46"/>
      <c r="S52" s="51"/>
      <c r="U52" s="46"/>
      <c r="V52" s="51"/>
      <c r="W52" s="46"/>
      <c r="AA52" s="3"/>
      <c r="AB52" s="3"/>
      <c r="AC52" s="3"/>
    </row>
    <row r="53" spans="6:29" s="79" customFormat="1" x14ac:dyDescent="0.2">
      <c r="F53" s="46"/>
      <c r="G53" s="46"/>
      <c r="H53" s="46"/>
      <c r="I53" s="46"/>
      <c r="J53" s="50"/>
      <c r="K53" s="46"/>
      <c r="L53" s="51"/>
      <c r="M53" s="46"/>
      <c r="O53" s="46"/>
      <c r="P53" s="46"/>
      <c r="Q53" s="46"/>
      <c r="R53" s="46"/>
      <c r="S53" s="51"/>
      <c r="T53" s="3"/>
      <c r="U53" s="46"/>
      <c r="V53" s="51"/>
      <c r="W53" s="46"/>
      <c r="AA53" s="3"/>
      <c r="AB53" s="3"/>
      <c r="AC53" s="3"/>
    </row>
    <row r="54" spans="6:29" s="79" customFormat="1" x14ac:dyDescent="0.2">
      <c r="F54" s="46"/>
      <c r="G54" s="46"/>
      <c r="H54" s="46"/>
      <c r="I54" s="46"/>
      <c r="J54" s="50"/>
      <c r="K54" s="46"/>
      <c r="L54" s="51"/>
      <c r="M54" s="46"/>
      <c r="O54" s="46"/>
      <c r="P54" s="46"/>
      <c r="Q54" s="46"/>
      <c r="R54" s="46"/>
      <c r="S54" s="51"/>
      <c r="T54" s="3"/>
      <c r="U54" s="46"/>
      <c r="V54" s="51"/>
      <c r="W54" s="46"/>
    </row>
    <row r="55" spans="6:29" s="79" customFormat="1" ht="25.5" customHeight="1" x14ac:dyDescent="0.2">
      <c r="F55" s="46"/>
      <c r="G55" s="46"/>
      <c r="H55" s="46"/>
      <c r="I55" s="46"/>
      <c r="J55" s="50"/>
      <c r="K55" s="46"/>
      <c r="L55" s="51"/>
      <c r="M55" s="46"/>
      <c r="O55" s="46"/>
      <c r="P55" s="46"/>
      <c r="Q55" s="46"/>
      <c r="R55" s="46"/>
      <c r="S55" s="51"/>
      <c r="T55" s="3"/>
      <c r="U55" s="46"/>
      <c r="V55" s="51"/>
      <c r="W55" s="46"/>
    </row>
    <row r="56" spans="6:29" s="79" customFormat="1" ht="27" customHeight="1" x14ac:dyDescent="0.2">
      <c r="F56" s="46"/>
      <c r="G56" s="46"/>
      <c r="H56" s="46"/>
      <c r="I56" s="46"/>
      <c r="J56" s="50"/>
      <c r="K56" s="46"/>
      <c r="L56" s="51"/>
      <c r="M56" s="46"/>
      <c r="O56" s="46"/>
      <c r="P56" s="46"/>
      <c r="Q56" s="46"/>
      <c r="R56" s="46"/>
      <c r="S56" s="51"/>
      <c r="T56" s="3"/>
      <c r="U56" s="46"/>
      <c r="V56" s="51"/>
      <c r="W56" s="46"/>
    </row>
    <row r="57" spans="6:29" s="79" customFormat="1" x14ac:dyDescent="0.2">
      <c r="F57" s="52"/>
      <c r="G57" s="3"/>
      <c r="H57" s="3"/>
      <c r="I57" s="3"/>
      <c r="J57" s="50"/>
      <c r="K57" s="3"/>
      <c r="L57" s="53"/>
      <c r="M57" s="3"/>
      <c r="O57" s="3"/>
      <c r="P57" s="46"/>
      <c r="Q57" s="46"/>
      <c r="R57" s="46"/>
      <c r="S57" s="51"/>
      <c r="T57" s="3"/>
      <c r="U57" s="3"/>
      <c r="V57" s="53"/>
      <c r="W57" s="3"/>
    </row>
    <row r="58" spans="6:29" s="79" customFormat="1" x14ac:dyDescent="0.2">
      <c r="F58" s="52"/>
      <c r="G58" s="3"/>
      <c r="H58" s="3"/>
      <c r="I58" s="3"/>
      <c r="J58" s="50"/>
      <c r="K58" s="3"/>
      <c r="L58" s="53"/>
      <c r="M58" s="3"/>
      <c r="O58" s="3"/>
      <c r="P58" s="3"/>
      <c r="Q58" s="3"/>
      <c r="R58" s="46"/>
      <c r="S58" s="51"/>
      <c r="T58" s="3"/>
      <c r="U58" s="3"/>
      <c r="V58" s="53"/>
      <c r="W58" s="3"/>
    </row>
    <row r="59" spans="6:29" s="79" customFormat="1" x14ac:dyDescent="0.2">
      <c r="F59" s="52"/>
      <c r="G59" s="3"/>
      <c r="H59" s="3"/>
      <c r="I59" s="3"/>
      <c r="J59" s="50"/>
      <c r="K59" s="3"/>
      <c r="L59" s="53"/>
      <c r="M59" s="3"/>
      <c r="O59" s="3"/>
      <c r="P59" s="3"/>
      <c r="Q59" s="3"/>
      <c r="R59" s="46"/>
      <c r="S59" s="51"/>
      <c r="T59" s="3"/>
      <c r="U59" s="3"/>
      <c r="V59" s="53"/>
      <c r="W59" s="3"/>
    </row>
    <row r="60" spans="6:29" x14ac:dyDescent="0.2">
      <c r="AA60" s="79"/>
      <c r="AB60" s="79"/>
      <c r="AC60" s="79"/>
    </row>
  </sheetData>
  <mergeCells count="189">
    <mergeCell ref="B1:N1"/>
    <mergeCell ref="B2:N2"/>
    <mergeCell ref="B3:N3"/>
    <mergeCell ref="B4:N4"/>
    <mergeCell ref="R43:S43"/>
    <mergeCell ref="B39:B40"/>
    <mergeCell ref="C39:C40"/>
    <mergeCell ref="E39:E40"/>
    <mergeCell ref="G39:H39"/>
    <mergeCell ref="K39:L39"/>
    <mergeCell ref="R42:S42"/>
    <mergeCell ref="F34:K35"/>
    <mergeCell ref="L34:L35"/>
    <mergeCell ref="N34:N35"/>
    <mergeCell ref="B35:B38"/>
    <mergeCell ref="C35:C38"/>
    <mergeCell ref="D35:D40"/>
    <mergeCell ref="E35:E38"/>
    <mergeCell ref="H36:M37"/>
    <mergeCell ref="G38:I38"/>
    <mergeCell ref="K38:M38"/>
    <mergeCell ref="H31:I31"/>
    <mergeCell ref="H32:I32"/>
    <mergeCell ref="K32:K33"/>
    <mergeCell ref="L32:L33"/>
    <mergeCell ref="M32:M33"/>
    <mergeCell ref="N32:N33"/>
    <mergeCell ref="H33:I33"/>
    <mergeCell ref="U30:U31"/>
    <mergeCell ref="V30:V31"/>
    <mergeCell ref="U28:U29"/>
    <mergeCell ref="V28:V29"/>
    <mergeCell ref="W28:W29"/>
    <mergeCell ref="U32:U33"/>
    <mergeCell ref="V32:V33"/>
    <mergeCell ref="W32:W33"/>
    <mergeCell ref="X32:X33"/>
    <mergeCell ref="Y32:Y33"/>
    <mergeCell ref="Z32:Z33"/>
    <mergeCell ref="W30:W31"/>
    <mergeCell ref="X30:X31"/>
    <mergeCell ref="Y30:Y31"/>
    <mergeCell ref="Z30:Z31"/>
    <mergeCell ref="X24:X25"/>
    <mergeCell ref="W26:W27"/>
    <mergeCell ref="X26:X27"/>
    <mergeCell ref="Y26:Y27"/>
    <mergeCell ref="Z26:Z27"/>
    <mergeCell ref="B27:B34"/>
    <mergeCell ref="C27:D34"/>
    <mergeCell ref="E27:E34"/>
    <mergeCell ref="H27:I27"/>
    <mergeCell ref="H28:I28"/>
    <mergeCell ref="K28:K29"/>
    <mergeCell ref="X28:X29"/>
    <mergeCell ref="Y28:Y29"/>
    <mergeCell ref="Z28:Z29"/>
    <mergeCell ref="H29:I29"/>
    <mergeCell ref="G30:G33"/>
    <mergeCell ref="H30:I30"/>
    <mergeCell ref="K30:K31"/>
    <mergeCell ref="L30:L31"/>
    <mergeCell ref="M30:M31"/>
    <mergeCell ref="N30:N31"/>
    <mergeCell ref="L28:L29"/>
    <mergeCell ref="M28:M29"/>
    <mergeCell ref="N28:N29"/>
    <mergeCell ref="M26:M27"/>
    <mergeCell ref="N26:N27"/>
    <mergeCell ref="U26:U27"/>
    <mergeCell ref="V26:V27"/>
    <mergeCell ref="M24:M25"/>
    <mergeCell ref="N24:N25"/>
    <mergeCell ref="U24:U25"/>
    <mergeCell ref="V24:V25"/>
    <mergeCell ref="W24:W25"/>
    <mergeCell ref="AA23:AC23"/>
    <mergeCell ref="B24:B25"/>
    <mergeCell ref="C24:C25"/>
    <mergeCell ref="H24:I24"/>
    <mergeCell ref="K24:K25"/>
    <mergeCell ref="L24:L25"/>
    <mergeCell ref="L22:L23"/>
    <mergeCell ref="M22:M23"/>
    <mergeCell ref="N22:N23"/>
    <mergeCell ref="U22:U23"/>
    <mergeCell ref="V22:V23"/>
    <mergeCell ref="W22:W23"/>
    <mergeCell ref="C21:C23"/>
    <mergeCell ref="D21:D26"/>
    <mergeCell ref="E21:E26"/>
    <mergeCell ref="H21:I21"/>
    <mergeCell ref="H22:I22"/>
    <mergeCell ref="K22:K23"/>
    <mergeCell ref="U20:U21"/>
    <mergeCell ref="V20:V21"/>
    <mergeCell ref="Y24:Y25"/>
    <mergeCell ref="Z24:Z25"/>
    <mergeCell ref="H25:I25"/>
    <mergeCell ref="H26:I26"/>
    <mergeCell ref="X20:X21"/>
    <mergeCell ref="Y20:Y21"/>
    <mergeCell ref="Z20:Z21"/>
    <mergeCell ref="U18:U19"/>
    <mergeCell ref="V18:V19"/>
    <mergeCell ref="W18:W19"/>
    <mergeCell ref="X18:X19"/>
    <mergeCell ref="Y18:Y19"/>
    <mergeCell ref="X22:X23"/>
    <mergeCell ref="Y22:Y23"/>
    <mergeCell ref="Z22:Z23"/>
    <mergeCell ref="B19:B23"/>
    <mergeCell ref="C19:D20"/>
    <mergeCell ref="E19:E20"/>
    <mergeCell ref="H19:I19"/>
    <mergeCell ref="H20:I20"/>
    <mergeCell ref="G18:G29"/>
    <mergeCell ref="H18:I18"/>
    <mergeCell ref="K18:K19"/>
    <mergeCell ref="L18:L19"/>
    <mergeCell ref="H23:I23"/>
    <mergeCell ref="K26:K27"/>
    <mergeCell ref="L26:L27"/>
    <mergeCell ref="M18:M19"/>
    <mergeCell ref="N18:N19"/>
    <mergeCell ref="K20:K21"/>
    <mergeCell ref="L20:L21"/>
    <mergeCell ref="M20:M21"/>
    <mergeCell ref="N20:N21"/>
    <mergeCell ref="V14:V17"/>
    <mergeCell ref="W14:W17"/>
    <mergeCell ref="H15:I15"/>
    <mergeCell ref="K15:K16"/>
    <mergeCell ref="L15:L16"/>
    <mergeCell ref="H16:I16"/>
    <mergeCell ref="H17:I17"/>
    <mergeCell ref="W20:W21"/>
    <mergeCell ref="B14:B17"/>
    <mergeCell ref="C14:C17"/>
    <mergeCell ref="D14:D17"/>
    <mergeCell ref="E14:E17"/>
    <mergeCell ref="G14:G17"/>
    <mergeCell ref="H14:I14"/>
    <mergeCell ref="M14:M17"/>
    <mergeCell ref="U14:U17"/>
    <mergeCell ref="K12:K13"/>
    <mergeCell ref="L12:L13"/>
    <mergeCell ref="M12:M13"/>
    <mergeCell ref="N12:N13"/>
    <mergeCell ref="U12:U13"/>
    <mergeCell ref="Y9:Y10"/>
    <mergeCell ref="G10:I10"/>
    <mergeCell ref="B11:B13"/>
    <mergeCell ref="C11:D13"/>
    <mergeCell ref="E11:E13"/>
    <mergeCell ref="G11:I11"/>
    <mergeCell ref="F12:F13"/>
    <mergeCell ref="G12:I13"/>
    <mergeCell ref="J12:J13"/>
    <mergeCell ref="L9:L10"/>
    <mergeCell ref="M9:M10"/>
    <mergeCell ref="N9:N10"/>
    <mergeCell ref="U9:U10"/>
    <mergeCell ref="V9:V10"/>
    <mergeCell ref="W9:W10"/>
    <mergeCell ref="W12:W13"/>
    <mergeCell ref="X12:X13"/>
    <mergeCell ref="V12:V13"/>
    <mergeCell ref="W7:X7"/>
    <mergeCell ref="G8:J8"/>
    <mergeCell ref="K8:L8"/>
    <mergeCell ref="M8:N8"/>
    <mergeCell ref="W8:X8"/>
    <mergeCell ref="B9:B10"/>
    <mergeCell ref="C9:D10"/>
    <mergeCell ref="E9:E10"/>
    <mergeCell ref="G9:I9"/>
    <mergeCell ref="K9:K10"/>
    <mergeCell ref="X9:X10"/>
    <mergeCell ref="C5:D5"/>
    <mergeCell ref="F5:N5"/>
    <mergeCell ref="B6:B8"/>
    <mergeCell ref="C6:C8"/>
    <mergeCell ref="D6:D8"/>
    <mergeCell ref="E6:E8"/>
    <mergeCell ref="F6:N6"/>
    <mergeCell ref="G7:J7"/>
    <mergeCell ref="K7:L7"/>
    <mergeCell ref="M7:N7"/>
  </mergeCells>
  <pageMargins left="0.7" right="0.7" top="0.78740157499999996" bottom="0.78740157499999996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3073" r:id="rId4">
          <objectPr defaultSize="0" autoPict="0" r:id="rId5">
            <anchor moveWithCells="1" sizeWithCells="1">
              <from>
                <xdr:col>1</xdr:col>
                <xdr:colOff>104775</xdr:colOff>
                <xdr:row>0</xdr:row>
                <xdr:rowOff>0</xdr:rowOff>
              </from>
              <to>
                <xdr:col>5</xdr:col>
                <xdr:colOff>104775</xdr:colOff>
                <xdr:row>3</xdr:row>
                <xdr:rowOff>133350</xdr:rowOff>
              </to>
            </anchor>
          </objectPr>
        </oleObject>
      </mc:Choice>
      <mc:Fallback>
        <oleObject progId="Word.Picture.8" shapeId="3073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I58"/>
  <sheetViews>
    <sheetView tabSelected="1" zoomScaleNormal="100" workbookViewId="0">
      <selection activeCell="AK20" sqref="AK20"/>
    </sheetView>
  </sheetViews>
  <sheetFormatPr defaultRowHeight="12.75" x14ac:dyDescent="0.2"/>
  <cols>
    <col min="1" max="1" width="9.140625" style="3"/>
    <col min="2" max="2" width="3.42578125" style="91" customWidth="1"/>
    <col min="3" max="4" width="2" style="77" customWidth="1"/>
    <col min="5" max="5" width="2" style="78" customWidth="1"/>
    <col min="6" max="6" width="4.28515625" style="52" customWidth="1"/>
    <col min="7" max="7" width="3.140625" style="3" customWidth="1"/>
    <col min="8" max="8" width="9.28515625" style="3" customWidth="1"/>
    <col min="9" max="9" width="3" style="3" customWidth="1"/>
    <col min="10" max="10" width="6.42578125" style="50" customWidth="1"/>
    <col min="11" max="11" width="13" style="3" customWidth="1"/>
    <col min="12" max="12" width="7.140625" style="53" customWidth="1"/>
    <col min="13" max="13" width="5.140625" style="3" customWidth="1"/>
    <col min="14" max="14" width="8.140625" style="79" customWidth="1"/>
    <col min="15" max="15" width="9.140625" style="3"/>
    <col min="16" max="16" width="7" style="122" hidden="1" customWidth="1"/>
    <col min="17" max="17" width="5.42578125" style="122" hidden="1" customWidth="1"/>
    <col min="18" max="18" width="8.7109375" style="122" hidden="1" customWidth="1"/>
    <col min="19" max="19" width="4.5703125" style="197" hidden="1" customWidth="1"/>
    <col min="20" max="20" width="9.140625" style="122" hidden="1" customWidth="1"/>
    <col min="21" max="21" width="14.5703125" style="2" hidden="1" customWidth="1"/>
    <col min="22" max="23" width="7.28515625" style="2" hidden="1" customWidth="1"/>
    <col min="24" max="24" width="7" style="122" hidden="1" customWidth="1"/>
    <col min="25" max="27" width="9.140625" style="122" hidden="1" customWidth="1"/>
    <col min="28" max="32" width="7" style="122" hidden="1" customWidth="1"/>
    <col min="33" max="34" width="7" style="3" hidden="1" customWidth="1"/>
    <col min="35" max="35" width="9.140625" style="3" hidden="1" customWidth="1"/>
    <col min="36" max="43" width="9.140625" style="3" customWidth="1"/>
    <col min="44" max="16384" width="9.140625" style="3"/>
  </cols>
  <sheetData>
    <row r="1" spans="2:32" x14ac:dyDescent="0.2">
      <c r="B1" s="756"/>
      <c r="C1" s="757"/>
      <c r="D1" s="757"/>
      <c r="E1" s="757"/>
      <c r="F1" s="757"/>
      <c r="G1" s="757"/>
      <c r="H1" s="757"/>
      <c r="I1" s="757"/>
      <c r="J1" s="757"/>
      <c r="K1" s="757"/>
      <c r="L1" s="757"/>
      <c r="M1" s="757"/>
      <c r="N1" s="758"/>
      <c r="U1" s="316"/>
      <c r="V1" s="316"/>
      <c r="W1" s="316"/>
    </row>
    <row r="2" spans="2:32" ht="18.75" x14ac:dyDescent="0.3">
      <c r="B2" s="752" t="s">
        <v>235</v>
      </c>
      <c r="C2" s="746"/>
      <c r="D2" s="746"/>
      <c r="E2" s="746"/>
      <c r="F2" s="746"/>
      <c r="G2" s="746"/>
      <c r="H2" s="746"/>
      <c r="I2" s="746"/>
      <c r="J2" s="746"/>
      <c r="K2" s="746"/>
      <c r="L2" s="746"/>
      <c r="M2" s="746"/>
      <c r="N2" s="753"/>
      <c r="U2" s="316"/>
      <c r="V2" s="316"/>
      <c r="W2" s="316"/>
    </row>
    <row r="3" spans="2:32" ht="18.75" x14ac:dyDescent="0.3">
      <c r="B3" s="752" t="s">
        <v>236</v>
      </c>
      <c r="C3" s="746"/>
      <c r="D3" s="746"/>
      <c r="E3" s="746"/>
      <c r="F3" s="746"/>
      <c r="G3" s="746"/>
      <c r="H3" s="746"/>
      <c r="I3" s="746"/>
      <c r="J3" s="746"/>
      <c r="K3" s="746"/>
      <c r="L3" s="746"/>
      <c r="M3" s="746"/>
      <c r="N3" s="753"/>
      <c r="U3" s="316"/>
      <c r="V3" s="316"/>
      <c r="W3" s="316"/>
    </row>
    <row r="4" spans="2:32" ht="13.5" thickBot="1" x14ac:dyDescent="0.25">
      <c r="B4" s="759"/>
      <c r="C4" s="748"/>
      <c r="D4" s="748"/>
      <c r="E4" s="748"/>
      <c r="F4" s="748"/>
      <c r="G4" s="748"/>
      <c r="H4" s="748"/>
      <c r="I4" s="748"/>
      <c r="J4" s="748"/>
      <c r="K4" s="748"/>
      <c r="L4" s="748"/>
      <c r="M4" s="748"/>
      <c r="N4" s="760"/>
      <c r="U4" s="316"/>
      <c r="V4" s="316"/>
      <c r="W4" s="316"/>
    </row>
    <row r="5" spans="2:32" s="1" customFormat="1" ht="21.75" customHeight="1" x14ac:dyDescent="0.3">
      <c r="B5" s="198" t="str">
        <f>V11</f>
        <v/>
      </c>
      <c r="C5" s="409" t="s">
        <v>0</v>
      </c>
      <c r="D5" s="409"/>
      <c r="E5" s="55" t="s">
        <v>1</v>
      </c>
      <c r="F5" s="410" t="s">
        <v>233</v>
      </c>
      <c r="G5" s="411"/>
      <c r="H5" s="411"/>
      <c r="I5" s="411"/>
      <c r="J5" s="411"/>
      <c r="K5" s="411"/>
      <c r="L5" s="411"/>
      <c r="M5" s="411"/>
      <c r="N5" s="412"/>
      <c r="P5" s="121"/>
      <c r="Q5" s="121"/>
      <c r="R5" s="121"/>
      <c r="S5" s="121"/>
      <c r="T5" s="121"/>
      <c r="U5" s="123"/>
      <c r="V5" s="123" t="str">
        <f>IF(B6&gt;239.99,"II","")</f>
        <v/>
      </c>
      <c r="W5" s="123" t="str">
        <f>IF(B6&gt;254.99,"I","")</f>
        <v/>
      </c>
      <c r="X5" s="121"/>
      <c r="Y5" s="121"/>
      <c r="Z5" s="121"/>
      <c r="AA5" s="121"/>
      <c r="AB5" s="121"/>
      <c r="AC5" s="121"/>
      <c r="AD5" s="121"/>
      <c r="AE5" s="121"/>
      <c r="AF5" s="121"/>
    </row>
    <row r="6" spans="2:32" ht="13.5" customHeight="1" thickBot="1" x14ac:dyDescent="0.25">
      <c r="B6" s="427">
        <f>N37</f>
        <v>0</v>
      </c>
      <c r="C6" s="415" t="s">
        <v>2</v>
      </c>
      <c r="D6" s="417"/>
      <c r="E6" s="419" t="s">
        <v>3</v>
      </c>
      <c r="F6" s="421" t="s">
        <v>86</v>
      </c>
      <c r="G6" s="422"/>
      <c r="H6" s="422"/>
      <c r="I6" s="422"/>
      <c r="J6" s="422"/>
      <c r="K6" s="422"/>
      <c r="L6" s="422"/>
      <c r="M6" s="422"/>
      <c r="N6" s="423"/>
      <c r="S6" s="122"/>
    </row>
    <row r="7" spans="2:32" s="7" customFormat="1" ht="11.25" customHeight="1" x14ac:dyDescent="0.2">
      <c r="B7" s="570"/>
      <c r="C7" s="416"/>
      <c r="D7" s="418"/>
      <c r="E7" s="420"/>
      <c r="F7" s="4" t="s">
        <v>5</v>
      </c>
      <c r="G7" s="424" t="s">
        <v>6</v>
      </c>
      <c r="H7" s="424"/>
      <c r="I7" s="424"/>
      <c r="J7" s="424"/>
      <c r="K7" s="424" t="s">
        <v>7</v>
      </c>
      <c r="L7" s="424"/>
      <c r="M7" s="56" t="s">
        <v>8</v>
      </c>
      <c r="N7" s="57" t="s">
        <v>9</v>
      </c>
      <c r="P7" s="178"/>
      <c r="Q7" s="178"/>
      <c r="R7" s="178"/>
      <c r="S7" s="179"/>
      <c r="T7" s="178"/>
      <c r="U7" s="178"/>
      <c r="V7" s="178"/>
      <c r="W7" s="178"/>
      <c r="X7" s="178"/>
      <c r="Y7" s="178"/>
      <c r="Z7" s="178"/>
      <c r="AA7" s="178"/>
      <c r="AB7" s="178"/>
      <c r="AC7" s="178"/>
      <c r="AD7" s="178"/>
      <c r="AE7" s="178"/>
      <c r="AF7" s="178"/>
    </row>
    <row r="8" spans="2:32" s="13" customFormat="1" ht="18.75" customHeight="1" thickBot="1" x14ac:dyDescent="0.25">
      <c r="B8" s="570"/>
      <c r="C8" s="416"/>
      <c r="D8" s="418"/>
      <c r="E8" s="420"/>
      <c r="F8" s="58" t="s">
        <v>10</v>
      </c>
      <c r="G8" s="563" t="s">
        <v>11</v>
      </c>
      <c r="H8" s="563"/>
      <c r="I8" s="563"/>
      <c r="J8" s="406"/>
      <c r="K8" s="563" t="s">
        <v>12</v>
      </c>
      <c r="L8" s="563"/>
      <c r="M8" s="59" t="s">
        <v>13</v>
      </c>
      <c r="N8" s="60" t="s">
        <v>14</v>
      </c>
      <c r="P8" s="182"/>
      <c r="Q8" s="182"/>
      <c r="R8" s="61"/>
      <c r="S8" s="183"/>
      <c r="T8" s="182"/>
      <c r="U8" s="199"/>
      <c r="V8" s="199"/>
      <c r="W8" s="199"/>
      <c r="X8" s="182"/>
      <c r="Y8" s="182"/>
      <c r="Z8" s="182"/>
      <c r="AA8" s="182"/>
      <c r="AB8" s="182"/>
      <c r="AC8" s="182"/>
      <c r="AD8" s="182"/>
      <c r="AE8" s="182"/>
      <c r="AF8" s="182"/>
    </row>
    <row r="9" spans="2:32" s="13" customFormat="1" ht="12" customHeight="1" x14ac:dyDescent="0.2">
      <c r="B9" s="367"/>
      <c r="C9" s="379" t="s">
        <v>17</v>
      </c>
      <c r="D9" s="379"/>
      <c r="E9" s="374" t="s">
        <v>18</v>
      </c>
      <c r="F9" s="564">
        <v>1</v>
      </c>
      <c r="G9" s="565" t="s">
        <v>15</v>
      </c>
      <c r="H9" s="375"/>
      <c r="I9" s="376"/>
      <c r="J9" s="566"/>
      <c r="K9" s="565" t="s">
        <v>87</v>
      </c>
      <c r="L9" s="361">
        <f>P9</f>
        <v>0</v>
      </c>
      <c r="M9" s="573">
        <v>0.5</v>
      </c>
      <c r="N9" s="447">
        <f>TRUNC(S9,2)</f>
        <v>0</v>
      </c>
      <c r="P9" s="445">
        <f>TRUNC(Q9,2)</f>
        <v>0</v>
      </c>
      <c r="Q9" s="445">
        <f>(J11+J9)/2</f>
        <v>0</v>
      </c>
      <c r="R9" s="445"/>
      <c r="S9" s="446">
        <f>P9*M9</f>
        <v>0</v>
      </c>
      <c r="T9" s="182"/>
      <c r="U9" s="199" t="str">
        <f>IF(B6&gt;104.99,U15,"")</f>
        <v/>
      </c>
      <c r="V9" s="199" t="str">
        <f>IF(B6&gt;114.999,V15,"")</f>
        <v/>
      </c>
      <c r="W9" s="199" t="str">
        <f>IF(B6&gt;129.99,W15,"")</f>
        <v/>
      </c>
      <c r="X9" s="182"/>
      <c r="Y9" s="182"/>
      <c r="Z9" s="182"/>
      <c r="AA9" s="182"/>
      <c r="AB9" s="182"/>
      <c r="AC9" s="182"/>
      <c r="AD9" s="182"/>
      <c r="AE9" s="182"/>
      <c r="AF9" s="182"/>
    </row>
    <row r="10" spans="2:32" s="13" customFormat="1" ht="12" customHeight="1" x14ac:dyDescent="0.2">
      <c r="B10" s="367"/>
      <c r="C10" s="379"/>
      <c r="D10" s="379"/>
      <c r="E10" s="374"/>
      <c r="F10" s="398"/>
      <c r="G10" s="565"/>
      <c r="H10" s="375"/>
      <c r="I10" s="376"/>
      <c r="J10" s="401"/>
      <c r="K10" s="565"/>
      <c r="L10" s="361"/>
      <c r="M10" s="573"/>
      <c r="N10" s="448"/>
      <c r="P10" s="445"/>
      <c r="Q10" s="445"/>
      <c r="R10" s="445"/>
      <c r="S10" s="446"/>
      <c r="T10" s="182"/>
      <c r="U10" s="199"/>
      <c r="V10" s="200">
        <f>MIN(U9,V9,W9)</f>
        <v>0</v>
      </c>
      <c r="W10" s="199"/>
      <c r="X10" s="182"/>
      <c r="Y10" s="182"/>
      <c r="Z10" s="182"/>
      <c r="AA10" s="182"/>
      <c r="AB10" s="182"/>
      <c r="AC10" s="182"/>
      <c r="AD10" s="182"/>
      <c r="AE10" s="182"/>
      <c r="AF10" s="182"/>
    </row>
    <row r="11" spans="2:32" s="13" customFormat="1" ht="12" customHeight="1" x14ac:dyDescent="0.2">
      <c r="B11" s="367"/>
      <c r="C11" s="395" t="s">
        <v>21</v>
      </c>
      <c r="D11" s="395"/>
      <c r="E11" s="374" t="s">
        <v>22</v>
      </c>
      <c r="F11" s="398">
        <v>2</v>
      </c>
      <c r="G11" s="565" t="s">
        <v>19</v>
      </c>
      <c r="H11" s="375"/>
      <c r="I11" s="376"/>
      <c r="J11" s="401"/>
      <c r="K11" s="565"/>
      <c r="L11" s="361"/>
      <c r="M11" s="573"/>
      <c r="N11" s="448"/>
      <c r="P11" s="445">
        <f>TRUNC(Q11,2)</f>
        <v>0</v>
      </c>
      <c r="Q11" s="445">
        <f>(J15+J16)/2</f>
        <v>0</v>
      </c>
      <c r="R11" s="199"/>
      <c r="S11" s="200"/>
      <c r="T11" s="182"/>
      <c r="U11" s="201"/>
      <c r="V11" s="201" t="str">
        <f>ROMAN(V10)</f>
        <v/>
      </c>
      <c r="W11" s="201"/>
      <c r="X11" s="85"/>
      <c r="Y11" s="85"/>
      <c r="Z11" s="182"/>
      <c r="AA11" s="182"/>
      <c r="AB11" s="182"/>
      <c r="AC11" s="182"/>
      <c r="AD11" s="182"/>
      <c r="AE11" s="182"/>
      <c r="AF11" s="182"/>
    </row>
    <row r="12" spans="2:32" s="13" customFormat="1" ht="12" customHeight="1" x14ac:dyDescent="0.2">
      <c r="B12" s="367"/>
      <c r="C12" s="395"/>
      <c r="D12" s="395"/>
      <c r="E12" s="374"/>
      <c r="F12" s="398"/>
      <c r="G12" s="565"/>
      <c r="H12" s="375"/>
      <c r="I12" s="376"/>
      <c r="J12" s="401"/>
      <c r="K12" s="565"/>
      <c r="L12" s="361"/>
      <c r="M12" s="573"/>
      <c r="N12" s="448"/>
      <c r="P12" s="445"/>
      <c r="Q12" s="445"/>
      <c r="R12" s="199"/>
      <c r="S12" s="200"/>
      <c r="T12" s="182"/>
      <c r="U12" s="199"/>
      <c r="V12" s="199"/>
      <c r="W12" s="199"/>
      <c r="X12" s="182"/>
      <c r="Y12" s="182"/>
      <c r="Z12" s="182"/>
      <c r="AA12" s="182"/>
      <c r="AB12" s="182"/>
      <c r="AC12" s="182"/>
      <c r="AD12" s="182"/>
      <c r="AE12" s="182"/>
      <c r="AF12" s="182"/>
    </row>
    <row r="13" spans="2:32" s="13" customFormat="1" ht="12" customHeight="1" x14ac:dyDescent="0.2">
      <c r="B13" s="367"/>
      <c r="C13" s="395"/>
      <c r="D13" s="395"/>
      <c r="E13" s="374"/>
      <c r="F13" s="398">
        <v>21</v>
      </c>
      <c r="G13" s="558" t="s">
        <v>88</v>
      </c>
      <c r="H13" s="559"/>
      <c r="I13" s="560"/>
      <c r="J13" s="80"/>
      <c r="K13" s="461" t="s">
        <v>89</v>
      </c>
      <c r="L13" s="443">
        <f>P13</f>
        <v>-90</v>
      </c>
      <c r="M13" s="493">
        <v>0.1</v>
      </c>
      <c r="N13" s="460">
        <f>TRUNC(S13,2)</f>
        <v>0</v>
      </c>
      <c r="P13" s="446">
        <f>TRUNC(Q13,2)</f>
        <v>-90</v>
      </c>
      <c r="Q13" s="446">
        <f>J13-J14</f>
        <v>-90</v>
      </c>
      <c r="R13" s="446" t="str">
        <f>IF(Q13&gt;0,P13,"0")</f>
        <v>0</v>
      </c>
      <c r="S13" s="446">
        <f>R13*M13</f>
        <v>0</v>
      </c>
      <c r="T13" s="182"/>
      <c r="U13" s="199"/>
      <c r="V13" s="199"/>
      <c r="W13" s="199"/>
      <c r="X13" s="182"/>
      <c r="Y13" s="182"/>
      <c r="Z13" s="182"/>
      <c r="AA13" s="182"/>
      <c r="AB13" s="182"/>
      <c r="AC13" s="182"/>
      <c r="AD13" s="182"/>
      <c r="AE13" s="182"/>
      <c r="AF13" s="182"/>
    </row>
    <row r="14" spans="2:32" s="13" customFormat="1" ht="12" customHeight="1" x14ac:dyDescent="0.2">
      <c r="B14" s="367"/>
      <c r="C14" s="387" t="s">
        <v>26</v>
      </c>
      <c r="D14" s="387" t="s">
        <v>27</v>
      </c>
      <c r="E14" s="390" t="s">
        <v>28</v>
      </c>
      <c r="F14" s="398"/>
      <c r="G14" s="558"/>
      <c r="H14" s="559"/>
      <c r="I14" s="560"/>
      <c r="J14" s="81">
        <v>90</v>
      </c>
      <c r="K14" s="572"/>
      <c r="L14" s="537"/>
      <c r="M14" s="557"/>
      <c r="N14" s="540"/>
      <c r="P14" s="445"/>
      <c r="Q14" s="445"/>
      <c r="R14" s="446"/>
      <c r="S14" s="446"/>
      <c r="T14" s="182"/>
      <c r="U14" s="199"/>
      <c r="V14" s="199"/>
      <c r="W14" s="199"/>
      <c r="X14" s="182"/>
      <c r="Y14" s="182"/>
      <c r="Z14" s="182"/>
      <c r="AA14" s="182"/>
      <c r="AB14" s="182"/>
      <c r="AC14" s="182"/>
      <c r="AD14" s="182"/>
      <c r="AE14" s="182"/>
      <c r="AF14" s="182"/>
    </row>
    <row r="15" spans="2:32" s="13" customFormat="1" ht="12" customHeight="1" x14ac:dyDescent="0.2">
      <c r="B15" s="367"/>
      <c r="C15" s="388"/>
      <c r="D15" s="388"/>
      <c r="E15" s="391"/>
      <c r="F15" s="461">
        <v>22</v>
      </c>
      <c r="G15" s="561" t="s">
        <v>90</v>
      </c>
      <c r="H15" s="435"/>
      <c r="I15" s="436"/>
      <c r="J15" s="401"/>
      <c r="K15" s="82"/>
      <c r="L15" s="83"/>
      <c r="M15" s="557">
        <v>0.3</v>
      </c>
      <c r="N15" s="540">
        <f>TRUNC(S15,2)</f>
        <v>0</v>
      </c>
      <c r="P15" s="446">
        <f>TRUNC(Q15,2)</f>
        <v>0</v>
      </c>
      <c r="Q15" s="446">
        <f>(J15)</f>
        <v>0</v>
      </c>
      <c r="R15" s="199"/>
      <c r="S15" s="446">
        <f>P15*M15</f>
        <v>0</v>
      </c>
      <c r="T15" s="182"/>
      <c r="U15" s="199">
        <v>3</v>
      </c>
      <c r="V15" s="199">
        <v>2</v>
      </c>
      <c r="W15" s="199">
        <v>1</v>
      </c>
      <c r="X15" s="182"/>
      <c r="Y15" s="182"/>
      <c r="Z15" s="182"/>
      <c r="AA15" s="182"/>
      <c r="AB15" s="182"/>
      <c r="AC15" s="182"/>
      <c r="AD15" s="182"/>
      <c r="AE15" s="182"/>
      <c r="AF15" s="182"/>
    </row>
    <row r="16" spans="2:32" s="13" customFormat="1" ht="12" customHeight="1" x14ac:dyDescent="0.2">
      <c r="B16" s="367"/>
      <c r="C16" s="388"/>
      <c r="D16" s="388"/>
      <c r="E16" s="391"/>
      <c r="F16" s="462"/>
      <c r="G16" s="561"/>
      <c r="H16" s="435"/>
      <c r="I16" s="436"/>
      <c r="J16" s="401"/>
      <c r="K16" s="82"/>
      <c r="L16" s="66"/>
      <c r="M16" s="494"/>
      <c r="N16" s="562"/>
      <c r="P16" s="445"/>
      <c r="Q16" s="445"/>
      <c r="R16" s="199"/>
      <c r="S16" s="446"/>
      <c r="T16" s="182"/>
      <c r="U16" s="199"/>
      <c r="V16" s="199"/>
      <c r="W16" s="199"/>
      <c r="X16" s="182"/>
      <c r="Y16" s="182"/>
      <c r="Z16" s="182"/>
      <c r="AA16" s="182"/>
      <c r="AB16" s="182"/>
      <c r="AC16" s="182"/>
      <c r="AD16" s="182"/>
      <c r="AE16" s="182"/>
      <c r="AF16" s="182"/>
    </row>
    <row r="17" spans="2:34" s="13" customFormat="1" ht="12" customHeight="1" x14ac:dyDescent="0.2">
      <c r="B17" s="367"/>
      <c r="C17" s="389"/>
      <c r="D17" s="389"/>
      <c r="E17" s="392"/>
      <c r="F17" s="398">
        <v>23</v>
      </c>
      <c r="G17" s="567" t="s">
        <v>48</v>
      </c>
      <c r="H17" s="474" t="s">
        <v>61</v>
      </c>
      <c r="I17" s="568"/>
      <c r="J17" s="478">
        <f>AD19</f>
        <v>0</v>
      </c>
      <c r="K17" s="480" t="s">
        <v>91</v>
      </c>
      <c r="L17" s="443">
        <f>P18</f>
        <v>0</v>
      </c>
      <c r="M17" s="493">
        <v>1</v>
      </c>
      <c r="N17" s="460">
        <f>M17*J17</f>
        <v>0</v>
      </c>
      <c r="P17" s="202"/>
      <c r="Q17" s="202"/>
      <c r="R17" s="90"/>
      <c r="S17" s="446"/>
      <c r="T17" s="182"/>
      <c r="U17" s="199"/>
      <c r="V17" s="199"/>
      <c r="W17" s="199"/>
      <c r="X17" s="182"/>
      <c r="Y17" s="182"/>
      <c r="Z17" s="182"/>
      <c r="AA17" s="182"/>
      <c r="AB17" s="182"/>
      <c r="AC17" s="182"/>
      <c r="AD17" s="182"/>
      <c r="AE17" s="182"/>
      <c r="AF17" s="182"/>
    </row>
    <row r="18" spans="2:34" s="13" customFormat="1" ht="12" customHeight="1" x14ac:dyDescent="0.2">
      <c r="B18" s="18"/>
      <c r="C18" s="64"/>
      <c r="D18" s="64"/>
      <c r="E18" s="65"/>
      <c r="F18" s="398"/>
      <c r="G18" s="567"/>
      <c r="H18" s="476"/>
      <c r="I18" s="569"/>
      <c r="J18" s="479"/>
      <c r="K18" s="556"/>
      <c r="L18" s="537"/>
      <c r="M18" s="557"/>
      <c r="N18" s="540"/>
      <c r="P18" s="446">
        <f>TRUNC(AA18,2)</f>
        <v>0</v>
      </c>
      <c r="Q18" s="446"/>
      <c r="R18" s="453"/>
      <c r="S18" s="446"/>
      <c r="T18" s="182"/>
      <c r="U18" s="203" t="s">
        <v>146</v>
      </c>
      <c r="V18" s="199"/>
      <c r="W18" s="199"/>
      <c r="X18" s="182" t="str">
        <f>(IF(V10=3,U18,""))</f>
        <v/>
      </c>
      <c r="Y18" s="182"/>
      <c r="Z18" s="182"/>
      <c r="AA18" s="266">
        <f>IFERROR(AB18,0)</f>
        <v>0</v>
      </c>
      <c r="AB18" s="204" t="e">
        <f>I17/L9*100</f>
        <v>#DIV/0!</v>
      </c>
      <c r="AC18" s="199">
        <f>(IF(P18&lt;30,AC20,""))</f>
        <v>0</v>
      </c>
      <c r="AD18" s="199">
        <f>IF($P$18&lt;34.9,AD20,"")</f>
        <v>1</v>
      </c>
      <c r="AE18" s="199">
        <f>IF($P$18&lt;39.9,AE20,"")</f>
        <v>2</v>
      </c>
      <c r="AF18" s="199">
        <f>IF($P$18&lt;44.95,AF20,"")</f>
        <v>3</v>
      </c>
      <c r="AG18" s="133">
        <f>IF($P$18&lt;75,AG20,"")</f>
        <v>4</v>
      </c>
      <c r="AH18" s="133" t="str">
        <f>IF($P$18&gt;75,AH20,"")</f>
        <v/>
      </c>
    </row>
    <row r="19" spans="2:34" s="13" customFormat="1" ht="12" customHeight="1" x14ac:dyDescent="0.2">
      <c r="B19" s="367"/>
      <c r="C19" s="379" t="s">
        <v>37</v>
      </c>
      <c r="D19" s="379"/>
      <c r="E19" s="374" t="s">
        <v>38</v>
      </c>
      <c r="F19" s="398">
        <v>24</v>
      </c>
      <c r="G19" s="567"/>
      <c r="H19" s="541" t="s">
        <v>49</v>
      </c>
      <c r="I19" s="542"/>
      <c r="J19" s="554"/>
      <c r="K19" s="556" t="s">
        <v>91</v>
      </c>
      <c r="L19" s="537"/>
      <c r="M19" s="557">
        <v>1</v>
      </c>
      <c r="N19" s="460">
        <f>M19*J19</f>
        <v>0</v>
      </c>
      <c r="P19" s="445"/>
      <c r="Q19" s="446"/>
      <c r="R19" s="453"/>
      <c r="S19" s="202"/>
      <c r="T19" s="182"/>
      <c r="U19" s="203" t="s">
        <v>147</v>
      </c>
      <c r="V19" s="199"/>
      <c r="W19" s="199"/>
      <c r="X19" s="182" t="str">
        <f>(IF(V10=2,U19,""))</f>
        <v/>
      </c>
      <c r="Y19" s="182"/>
      <c r="Z19" s="182"/>
      <c r="AA19" s="182"/>
      <c r="AB19" s="182"/>
      <c r="AC19" s="199"/>
      <c r="AD19" s="200">
        <f>MIN(AC18,AD18,AE18,AF18,AG18,AH18)</f>
        <v>0</v>
      </c>
      <c r="AE19" s="199"/>
      <c r="AF19" s="182"/>
      <c r="AH19" s="133"/>
    </row>
    <row r="20" spans="2:34" s="13" customFormat="1" ht="12" customHeight="1" x14ac:dyDescent="0.2">
      <c r="B20" s="367"/>
      <c r="C20" s="379"/>
      <c r="D20" s="379"/>
      <c r="E20" s="374"/>
      <c r="F20" s="398"/>
      <c r="G20" s="567"/>
      <c r="H20" s="541"/>
      <c r="I20" s="542"/>
      <c r="J20" s="555"/>
      <c r="K20" s="481"/>
      <c r="L20" s="444"/>
      <c r="M20" s="494"/>
      <c r="N20" s="540"/>
      <c r="P20" s="445"/>
      <c r="Q20" s="446"/>
      <c r="R20" s="453"/>
      <c r="S20" s="446"/>
      <c r="T20" s="182"/>
      <c r="U20" s="203" t="s">
        <v>190</v>
      </c>
      <c r="V20" s="199"/>
      <c r="W20" s="199"/>
      <c r="X20" s="182" t="str">
        <f>(IF(V10=1,U20,""))</f>
        <v/>
      </c>
      <c r="Y20" s="182"/>
      <c r="Z20" s="182"/>
      <c r="AA20" s="182"/>
      <c r="AB20" s="182"/>
      <c r="AC20" s="199">
        <v>0</v>
      </c>
      <c r="AD20" s="199">
        <v>1</v>
      </c>
      <c r="AE20" s="199">
        <v>2</v>
      </c>
      <c r="AF20" s="199">
        <v>3</v>
      </c>
      <c r="AG20" s="133">
        <v>4</v>
      </c>
      <c r="AH20" s="133">
        <v>0</v>
      </c>
    </row>
    <row r="21" spans="2:34" s="13" customFormat="1" ht="12" customHeight="1" x14ac:dyDescent="0.2">
      <c r="B21" s="378"/>
      <c r="C21" s="379" t="s">
        <v>42</v>
      </c>
      <c r="D21" s="379" t="s">
        <v>43</v>
      </c>
      <c r="E21" s="374" t="s">
        <v>44</v>
      </c>
      <c r="F21" s="398">
        <v>25</v>
      </c>
      <c r="G21" s="567"/>
      <c r="H21" s="541" t="s">
        <v>92</v>
      </c>
      <c r="I21" s="542"/>
      <c r="J21" s="554"/>
      <c r="K21" s="480" t="s">
        <v>91</v>
      </c>
      <c r="L21" s="443"/>
      <c r="M21" s="493">
        <v>1</v>
      </c>
      <c r="N21" s="460">
        <f>M21*J21</f>
        <v>0</v>
      </c>
      <c r="P21" s="199"/>
      <c r="Q21" s="200"/>
      <c r="R21" s="453"/>
      <c r="S21" s="446"/>
      <c r="T21" s="182"/>
      <c r="U21" s="199"/>
      <c r="V21" s="199"/>
      <c r="W21" s="199"/>
      <c r="X21" s="182" t="str">
        <f>CONCATENATE(X20,X19,X18)</f>
        <v/>
      </c>
      <c r="Y21" s="182"/>
      <c r="Z21" s="182"/>
      <c r="AA21" s="182"/>
      <c r="AB21" s="182"/>
      <c r="AC21" s="182"/>
      <c r="AD21" s="182"/>
      <c r="AE21" s="182"/>
      <c r="AF21" s="182"/>
    </row>
    <row r="22" spans="2:34" s="13" customFormat="1" ht="12" customHeight="1" x14ac:dyDescent="0.2">
      <c r="B22" s="378"/>
      <c r="C22" s="379"/>
      <c r="D22" s="379"/>
      <c r="E22" s="374"/>
      <c r="F22" s="398"/>
      <c r="G22" s="567"/>
      <c r="H22" s="541"/>
      <c r="I22" s="542"/>
      <c r="J22" s="555"/>
      <c r="K22" s="556"/>
      <c r="L22" s="537"/>
      <c r="M22" s="557"/>
      <c r="N22" s="540"/>
      <c r="P22" s="445"/>
      <c r="Q22" s="446"/>
      <c r="R22" s="453"/>
      <c r="S22" s="446"/>
      <c r="T22" s="182"/>
      <c r="U22" s="199"/>
      <c r="V22" s="199"/>
      <c r="W22" s="199"/>
      <c r="X22" s="182"/>
      <c r="Y22" s="182"/>
      <c r="Z22" s="182"/>
      <c r="AA22" s="182"/>
      <c r="AB22" s="182"/>
      <c r="AC22" s="182"/>
      <c r="AD22" s="182"/>
      <c r="AE22" s="182"/>
      <c r="AF22" s="182"/>
    </row>
    <row r="23" spans="2:34" s="13" customFormat="1" ht="12" customHeight="1" x14ac:dyDescent="0.2">
      <c r="B23" s="378"/>
      <c r="C23" s="379"/>
      <c r="D23" s="379"/>
      <c r="E23" s="374"/>
      <c r="F23" s="398">
        <v>26</v>
      </c>
      <c r="G23" s="567"/>
      <c r="H23" s="541" t="s">
        <v>93</v>
      </c>
      <c r="I23" s="542"/>
      <c r="J23" s="554"/>
      <c r="K23" s="556" t="s">
        <v>91</v>
      </c>
      <c r="L23" s="537"/>
      <c r="M23" s="557">
        <v>1</v>
      </c>
      <c r="N23" s="460">
        <f>M23*J23</f>
        <v>0</v>
      </c>
      <c r="P23" s="445"/>
      <c r="Q23" s="445"/>
      <c r="R23" s="90"/>
      <c r="S23" s="200"/>
      <c r="T23" s="182"/>
      <c r="U23" s="199"/>
      <c r="V23" s="199"/>
      <c r="W23" s="199"/>
      <c r="X23" s="182"/>
      <c r="Y23" s="182"/>
      <c r="Z23" s="182"/>
      <c r="AA23" s="182"/>
      <c r="AB23" s="182"/>
      <c r="AC23" s="182"/>
      <c r="AD23" s="182"/>
      <c r="AE23" s="182"/>
      <c r="AF23" s="182"/>
    </row>
    <row r="24" spans="2:34" s="13" customFormat="1" ht="12" customHeight="1" x14ac:dyDescent="0.2">
      <c r="B24" s="378"/>
      <c r="C24" s="379" t="s">
        <v>51</v>
      </c>
      <c r="D24" s="379"/>
      <c r="E24" s="374"/>
      <c r="F24" s="398"/>
      <c r="G24" s="567"/>
      <c r="H24" s="541"/>
      <c r="I24" s="542"/>
      <c r="J24" s="555"/>
      <c r="K24" s="481"/>
      <c r="L24" s="444"/>
      <c r="M24" s="494"/>
      <c r="N24" s="540"/>
      <c r="P24" s="85"/>
      <c r="Q24" s="85"/>
      <c r="R24" s="453"/>
      <c r="S24" s="446"/>
      <c r="T24" s="182"/>
      <c r="U24" s="199"/>
      <c r="V24" s="199"/>
      <c r="W24" s="199"/>
      <c r="X24" s="182"/>
      <c r="Y24" s="182"/>
      <c r="Z24" s="182"/>
      <c r="AA24" s="182"/>
      <c r="AB24" s="182"/>
      <c r="AC24" s="182"/>
      <c r="AD24" s="182"/>
      <c r="AE24" s="182"/>
      <c r="AF24" s="182"/>
    </row>
    <row r="25" spans="2:34" s="13" customFormat="1" ht="12" customHeight="1" x14ac:dyDescent="0.2">
      <c r="B25" s="378"/>
      <c r="C25" s="379"/>
      <c r="D25" s="379"/>
      <c r="E25" s="374"/>
      <c r="F25" s="398">
        <v>27</v>
      </c>
      <c r="G25" s="567"/>
      <c r="H25" s="541" t="s">
        <v>94</v>
      </c>
      <c r="I25" s="542"/>
      <c r="J25" s="554"/>
      <c r="K25" s="480" t="s">
        <v>50</v>
      </c>
      <c r="L25" s="443"/>
      <c r="M25" s="454">
        <v>1</v>
      </c>
      <c r="N25" s="460">
        <f>M25*J25</f>
        <v>0</v>
      </c>
      <c r="P25" s="85"/>
      <c r="Q25" s="85"/>
      <c r="R25" s="453"/>
      <c r="S25" s="446"/>
      <c r="T25" s="182"/>
      <c r="U25" s="199" t="str">
        <f>IF(L25&gt;59.9,U27,"")</f>
        <v/>
      </c>
      <c r="V25" s="199" t="str">
        <f>IF(L25&gt;69.9,V27,"")</f>
        <v/>
      </c>
      <c r="W25" s="199" t="str">
        <f>IF(L25&gt;79.9,W27,"")</f>
        <v/>
      </c>
      <c r="X25" s="199"/>
      <c r="Y25" s="182"/>
      <c r="Z25" s="182"/>
      <c r="AA25" s="182"/>
      <c r="AB25" s="182"/>
      <c r="AC25" s="182"/>
      <c r="AD25" s="182"/>
      <c r="AE25" s="182"/>
      <c r="AF25" s="182"/>
    </row>
    <row r="26" spans="2:34" s="13" customFormat="1" ht="12" customHeight="1" x14ac:dyDescent="0.2">
      <c r="B26" s="21"/>
      <c r="C26" s="67" t="s">
        <v>56</v>
      </c>
      <c r="D26" s="379"/>
      <c r="E26" s="374"/>
      <c r="F26" s="398"/>
      <c r="G26" s="567"/>
      <c r="H26" s="541"/>
      <c r="I26" s="542"/>
      <c r="J26" s="555"/>
      <c r="K26" s="481"/>
      <c r="L26" s="537"/>
      <c r="M26" s="455"/>
      <c r="N26" s="540"/>
      <c r="P26" s="85"/>
      <c r="Q26" s="85"/>
      <c r="R26" s="90"/>
      <c r="S26" s="187"/>
      <c r="T26" s="182"/>
      <c r="U26" s="201"/>
      <c r="V26" s="205"/>
      <c r="W26" s="201"/>
      <c r="X26" s="85"/>
      <c r="Y26" s="85"/>
      <c r="Z26" s="182"/>
      <c r="AA26" s="182"/>
      <c r="AB26" s="182"/>
      <c r="AC26" s="182"/>
      <c r="AD26" s="182"/>
      <c r="AE26" s="182"/>
      <c r="AF26" s="182"/>
    </row>
    <row r="27" spans="2:34" s="13" customFormat="1" ht="24" customHeight="1" thickBot="1" x14ac:dyDescent="0.25">
      <c r="B27" s="367"/>
      <c r="C27" s="368" t="s">
        <v>58</v>
      </c>
      <c r="D27" s="369"/>
      <c r="E27" s="374" t="s">
        <v>59</v>
      </c>
      <c r="F27" s="16">
        <v>31</v>
      </c>
      <c r="G27" s="567"/>
      <c r="H27" s="542" t="s">
        <v>95</v>
      </c>
      <c r="I27" s="543"/>
      <c r="J27" s="22"/>
      <c r="K27" s="26" t="s">
        <v>96</v>
      </c>
      <c r="L27" s="66"/>
      <c r="M27" s="84">
        <v>1</v>
      </c>
      <c r="N27" s="19">
        <f>M27*J27</f>
        <v>0</v>
      </c>
      <c r="P27" s="85"/>
      <c r="Q27" s="85"/>
      <c r="R27" s="90"/>
      <c r="S27" s="187"/>
      <c r="T27" s="182"/>
      <c r="U27" s="201"/>
      <c r="V27" s="201"/>
      <c r="W27" s="201"/>
      <c r="X27" s="85"/>
      <c r="Y27" s="85"/>
      <c r="Z27" s="122"/>
      <c r="AA27" s="182"/>
      <c r="AB27" s="182"/>
      <c r="AC27" s="182"/>
      <c r="AD27" s="182"/>
      <c r="AE27" s="182"/>
      <c r="AF27" s="182"/>
    </row>
    <row r="28" spans="2:34" s="13" customFormat="1" ht="12.75" customHeight="1" x14ac:dyDescent="0.2">
      <c r="B28" s="367"/>
      <c r="C28" s="370"/>
      <c r="D28" s="371"/>
      <c r="E28" s="374"/>
      <c r="F28" s="544" t="s">
        <v>57</v>
      </c>
      <c r="G28" s="545"/>
      <c r="H28" s="545"/>
      <c r="I28" s="545"/>
      <c r="J28" s="545"/>
      <c r="K28" s="545"/>
      <c r="L28" s="545"/>
      <c r="M28" s="546"/>
      <c r="N28" s="550">
        <f>SUM(N9:N27)</f>
        <v>0</v>
      </c>
      <c r="P28" s="85"/>
      <c r="Q28" s="85"/>
      <c r="R28" s="90"/>
      <c r="S28" s="187"/>
      <c r="T28" s="182"/>
      <c r="U28" s="201"/>
      <c r="V28" s="201"/>
      <c r="W28" s="201"/>
      <c r="X28" s="85"/>
      <c r="Y28" s="85"/>
      <c r="Z28" s="122"/>
      <c r="AA28" s="182"/>
      <c r="AB28" s="182"/>
      <c r="AC28" s="182"/>
      <c r="AD28" s="182"/>
      <c r="AE28" s="182"/>
      <c r="AF28" s="182"/>
    </row>
    <row r="29" spans="2:34" ht="12.75" customHeight="1" thickBot="1" x14ac:dyDescent="0.25">
      <c r="B29" s="367"/>
      <c r="C29" s="370"/>
      <c r="D29" s="371"/>
      <c r="E29" s="374"/>
      <c r="F29" s="547"/>
      <c r="G29" s="548"/>
      <c r="H29" s="548"/>
      <c r="I29" s="548"/>
      <c r="J29" s="548"/>
      <c r="K29" s="548"/>
      <c r="L29" s="548"/>
      <c r="M29" s="549"/>
      <c r="N29" s="551"/>
      <c r="P29" s="182"/>
      <c r="Q29" s="182"/>
      <c r="R29" s="90"/>
      <c r="S29" s="187"/>
      <c r="T29" s="182"/>
      <c r="U29" s="201"/>
      <c r="V29" s="201"/>
      <c r="W29" s="201"/>
      <c r="X29" s="85"/>
      <c r="Y29" s="85"/>
    </row>
    <row r="30" spans="2:34" ht="12.75" customHeight="1" thickBot="1" x14ac:dyDescent="0.25">
      <c r="B30" s="367"/>
      <c r="C30" s="370"/>
      <c r="D30" s="371"/>
      <c r="E30" s="374"/>
      <c r="F30" s="86">
        <v>36</v>
      </c>
      <c r="G30" s="552" t="s">
        <v>97</v>
      </c>
      <c r="H30" s="552"/>
      <c r="I30" s="553"/>
      <c r="J30" s="22"/>
      <c r="K30" s="87" t="s">
        <v>55</v>
      </c>
      <c r="L30" s="88"/>
      <c r="M30" s="89">
        <v>1</v>
      </c>
      <c r="N30" s="63">
        <f>M30*J30</f>
        <v>0</v>
      </c>
      <c r="R30" s="90"/>
      <c r="S30" s="187"/>
      <c r="T30" s="182"/>
      <c r="U30" s="206"/>
      <c r="V30" s="206"/>
      <c r="W30" s="206"/>
      <c r="X30" s="207"/>
      <c r="Y30" s="85"/>
    </row>
    <row r="31" spans="2:34" ht="12.75" customHeight="1" x14ac:dyDescent="0.2">
      <c r="B31" s="367"/>
      <c r="C31" s="370"/>
      <c r="D31" s="371"/>
      <c r="E31" s="374"/>
      <c r="F31" s="96" t="s">
        <v>67</v>
      </c>
      <c r="G31" s="125"/>
      <c r="H31" s="125"/>
      <c r="I31" s="125"/>
      <c r="J31" s="125"/>
      <c r="K31" s="125"/>
      <c r="L31" s="125"/>
      <c r="M31" s="125"/>
      <c r="N31" s="126"/>
      <c r="R31" s="90"/>
      <c r="S31" s="187"/>
      <c r="T31" s="182"/>
      <c r="U31" s="85"/>
      <c r="V31" s="206"/>
      <c r="W31" s="206"/>
      <c r="X31" s="207"/>
      <c r="Y31" s="85"/>
    </row>
    <row r="32" spans="2:34" ht="12.75" customHeight="1" x14ac:dyDescent="0.2">
      <c r="B32" s="367"/>
      <c r="C32" s="370"/>
      <c r="D32" s="371"/>
      <c r="E32" s="374"/>
      <c r="F32" s="127"/>
      <c r="G32" s="128"/>
      <c r="H32" s="128"/>
      <c r="I32" s="128"/>
      <c r="J32" s="128"/>
      <c r="K32" s="128"/>
      <c r="L32" s="128"/>
      <c r="M32" s="128"/>
      <c r="N32" s="129"/>
      <c r="R32" s="90"/>
      <c r="S32" s="187"/>
      <c r="T32" s="182"/>
      <c r="U32" s="271" t="str">
        <f>IF(B6&gt;139.99,"Význačná trofej","")</f>
        <v/>
      </c>
      <c r="V32" s="206"/>
      <c r="W32" s="206"/>
      <c r="X32" s="207"/>
      <c r="Y32" s="207"/>
    </row>
    <row r="33" spans="2:19" ht="12.75" customHeight="1" x14ac:dyDescent="0.2">
      <c r="B33" s="367"/>
      <c r="C33" s="370"/>
      <c r="D33" s="371"/>
      <c r="E33" s="374"/>
      <c r="F33" s="127"/>
      <c r="G33" s="128"/>
      <c r="H33" s="538" t="str">
        <f>X21</f>
        <v/>
      </c>
      <c r="I33" s="538"/>
      <c r="J33" s="538"/>
      <c r="K33" s="571" t="str">
        <f>U32</f>
        <v/>
      </c>
      <c r="L33" s="571"/>
      <c r="M33" s="571"/>
      <c r="N33" s="129"/>
      <c r="R33" s="90"/>
      <c r="S33" s="187"/>
    </row>
    <row r="34" spans="2:19" ht="12.75" customHeight="1" x14ac:dyDescent="0.2">
      <c r="B34" s="367"/>
      <c r="C34" s="372"/>
      <c r="D34" s="373"/>
      <c r="E34" s="374"/>
      <c r="F34" s="127"/>
      <c r="G34" s="128"/>
      <c r="H34" s="539"/>
      <c r="I34" s="539"/>
      <c r="J34" s="539"/>
      <c r="K34" s="571"/>
      <c r="L34" s="571"/>
      <c r="M34" s="571"/>
      <c r="N34" s="129"/>
      <c r="R34" s="182"/>
      <c r="S34" s="193"/>
    </row>
    <row r="35" spans="2:19" ht="12.75" customHeight="1" x14ac:dyDescent="0.2">
      <c r="B35" s="332"/>
      <c r="C35" s="334" t="s">
        <v>98</v>
      </c>
      <c r="D35" s="334" t="s">
        <v>69</v>
      </c>
      <c r="E35" s="336" t="s">
        <v>70</v>
      </c>
      <c r="F35" s="127"/>
      <c r="G35" s="128"/>
      <c r="H35" s="490"/>
      <c r="I35" s="490"/>
      <c r="J35" s="490"/>
      <c r="K35" s="128"/>
      <c r="L35" s="128"/>
      <c r="M35" s="128"/>
      <c r="N35" s="129"/>
      <c r="S35" s="122"/>
    </row>
    <row r="36" spans="2:19" ht="12.75" customHeight="1" thickBot="1" x14ac:dyDescent="0.25">
      <c r="B36" s="332"/>
      <c r="C36" s="334"/>
      <c r="D36" s="334"/>
      <c r="E36" s="336"/>
      <c r="F36" s="130"/>
      <c r="G36" s="131"/>
      <c r="H36" s="131"/>
      <c r="I36" s="131"/>
      <c r="J36" s="131"/>
      <c r="K36" s="131"/>
      <c r="L36" s="131"/>
      <c r="M36" s="131"/>
      <c r="N36" s="132"/>
      <c r="S36" s="122"/>
    </row>
    <row r="37" spans="2:19" ht="17.25" customHeight="1" thickBot="1" x14ac:dyDescent="0.25">
      <c r="B37" s="332"/>
      <c r="C37" s="334"/>
      <c r="D37" s="334"/>
      <c r="E37" s="336"/>
      <c r="F37" s="44">
        <v>99</v>
      </c>
      <c r="G37" s="525" t="s">
        <v>71</v>
      </c>
      <c r="H37" s="526"/>
      <c r="I37" s="526"/>
      <c r="J37" s="526"/>
      <c r="K37" s="526"/>
      <c r="L37" s="526"/>
      <c r="M37" s="526"/>
      <c r="N37" s="76">
        <f>N28-N30</f>
        <v>0</v>
      </c>
      <c r="S37" s="122"/>
    </row>
    <row r="38" spans="2:19" ht="25.5" customHeight="1" x14ac:dyDescent="0.2">
      <c r="B38" s="332"/>
      <c r="C38" s="334" t="s">
        <v>72</v>
      </c>
      <c r="D38" s="334"/>
      <c r="E38" s="336" t="s">
        <v>73</v>
      </c>
      <c r="F38" s="535"/>
      <c r="G38" s="536"/>
      <c r="H38" s="536"/>
      <c r="I38" s="340"/>
      <c r="J38" s="341"/>
      <c r="K38" s="533"/>
      <c r="L38" s="534"/>
      <c r="M38" s="519"/>
      <c r="N38" s="520"/>
      <c r="O38" s="46"/>
      <c r="S38" s="122"/>
    </row>
    <row r="39" spans="2:19" ht="10.5" customHeight="1" thickBot="1" x14ac:dyDescent="0.25">
      <c r="B39" s="333"/>
      <c r="C39" s="335"/>
      <c r="D39" s="335"/>
      <c r="E39" s="337"/>
      <c r="F39" s="521" t="s">
        <v>74</v>
      </c>
      <c r="G39" s="330"/>
      <c r="H39" s="330"/>
      <c r="I39" s="330" t="s">
        <v>75</v>
      </c>
      <c r="J39" s="330"/>
      <c r="K39" s="330" t="s">
        <v>76</v>
      </c>
      <c r="L39" s="330"/>
      <c r="M39" s="330" t="s">
        <v>77</v>
      </c>
      <c r="N39" s="331"/>
      <c r="O39" s="46"/>
      <c r="S39" s="122"/>
    </row>
    <row r="40" spans="2:19" ht="15.75" x14ac:dyDescent="0.2">
      <c r="F40" s="46"/>
      <c r="G40" s="46"/>
      <c r="H40" s="46"/>
      <c r="I40" s="46"/>
      <c r="K40" s="46"/>
      <c r="L40" s="51"/>
      <c r="M40" s="46"/>
      <c r="O40" s="46"/>
      <c r="S40" s="194"/>
    </row>
    <row r="41" spans="2:19" x14ac:dyDescent="0.2">
      <c r="F41" s="46"/>
      <c r="G41" s="46"/>
      <c r="H41" s="46"/>
      <c r="I41" s="46"/>
      <c r="K41" s="46"/>
      <c r="L41" s="51"/>
      <c r="M41" s="46"/>
      <c r="O41" s="46"/>
      <c r="P41" s="195"/>
      <c r="Q41" s="195"/>
      <c r="R41" s="422"/>
      <c r="S41" s="422"/>
    </row>
    <row r="42" spans="2:19" x14ac:dyDescent="0.2">
      <c r="F42" s="46"/>
      <c r="G42" s="46"/>
      <c r="H42" s="46"/>
      <c r="I42" s="46"/>
      <c r="K42" s="46"/>
      <c r="L42" s="51"/>
      <c r="M42" s="46"/>
      <c r="O42" s="46"/>
      <c r="P42" s="195"/>
      <c r="Q42" s="195"/>
      <c r="R42" s="522"/>
      <c r="S42" s="522"/>
    </row>
    <row r="43" spans="2:19" x14ac:dyDescent="0.2">
      <c r="F43" s="46"/>
      <c r="G43" s="46"/>
      <c r="H43" s="46"/>
      <c r="I43" s="46"/>
      <c r="K43" s="46"/>
      <c r="L43" s="51"/>
      <c r="M43" s="46"/>
      <c r="O43" s="46"/>
      <c r="P43" s="195"/>
      <c r="Q43" s="195"/>
      <c r="R43" s="195"/>
      <c r="S43" s="196"/>
    </row>
    <row r="44" spans="2:19" x14ac:dyDescent="0.2">
      <c r="F44" s="46"/>
      <c r="G44" s="46"/>
      <c r="H44" s="46"/>
      <c r="I44" s="46"/>
      <c r="K44" s="46"/>
      <c r="L44" s="51"/>
      <c r="M44" s="46"/>
      <c r="O44" s="46"/>
      <c r="P44" s="195"/>
      <c r="Q44" s="195"/>
      <c r="R44" s="195"/>
      <c r="S44" s="196"/>
    </row>
    <row r="45" spans="2:19" x14ac:dyDescent="0.2">
      <c r="F45" s="46"/>
      <c r="G45" s="46"/>
      <c r="H45" s="46"/>
      <c r="I45" s="46"/>
      <c r="K45" s="46"/>
      <c r="L45" s="51"/>
      <c r="M45" s="46"/>
      <c r="O45" s="46"/>
      <c r="P45" s="195"/>
      <c r="Q45" s="195"/>
      <c r="R45" s="195"/>
      <c r="S45" s="196"/>
    </row>
    <row r="46" spans="2:19" x14ac:dyDescent="0.2">
      <c r="F46" s="46"/>
      <c r="G46" s="46"/>
      <c r="H46" s="46"/>
      <c r="I46" s="46"/>
      <c r="K46" s="46"/>
      <c r="L46" s="51"/>
      <c r="M46" s="46"/>
      <c r="O46" s="46"/>
      <c r="P46" s="195"/>
      <c r="Q46" s="195"/>
      <c r="R46" s="195"/>
      <c r="S46" s="196"/>
    </row>
    <row r="47" spans="2:19" x14ac:dyDescent="0.2">
      <c r="F47" s="46"/>
      <c r="G47" s="46"/>
      <c r="H47" s="46"/>
      <c r="I47" s="46"/>
      <c r="K47" s="46"/>
      <c r="L47" s="51"/>
      <c r="M47" s="46"/>
      <c r="O47" s="46"/>
      <c r="P47" s="195"/>
      <c r="Q47" s="195"/>
      <c r="R47" s="195"/>
      <c r="S47" s="196"/>
    </row>
    <row r="48" spans="2:19" x14ac:dyDescent="0.2">
      <c r="F48" s="46"/>
      <c r="G48" s="46"/>
      <c r="H48" s="46"/>
      <c r="I48" s="46"/>
      <c r="K48" s="46"/>
      <c r="L48" s="51"/>
      <c r="M48" s="46"/>
      <c r="O48" s="46"/>
      <c r="P48" s="195"/>
      <c r="Q48" s="195"/>
      <c r="R48" s="195"/>
      <c r="S48" s="196"/>
    </row>
    <row r="49" spans="6:19" x14ac:dyDescent="0.2">
      <c r="F49" s="46"/>
      <c r="G49" s="46"/>
      <c r="H49" s="46"/>
      <c r="I49" s="46"/>
      <c r="K49" s="46"/>
      <c r="L49" s="51"/>
      <c r="M49" s="46"/>
      <c r="O49" s="46"/>
      <c r="P49" s="195"/>
      <c r="Q49" s="195"/>
      <c r="R49" s="195"/>
      <c r="S49" s="196"/>
    </row>
    <row r="50" spans="6:19" x14ac:dyDescent="0.2">
      <c r="F50" s="46"/>
      <c r="G50" s="46"/>
      <c r="H50" s="46"/>
      <c r="I50" s="46"/>
      <c r="K50" s="46"/>
      <c r="L50" s="51"/>
      <c r="M50" s="46"/>
      <c r="O50" s="46"/>
      <c r="P50" s="195"/>
      <c r="Q50" s="195"/>
      <c r="R50" s="195"/>
      <c r="S50" s="196"/>
    </row>
    <row r="51" spans="6:19" x14ac:dyDescent="0.2">
      <c r="F51" s="46"/>
      <c r="G51" s="46"/>
      <c r="H51" s="46"/>
      <c r="I51" s="46"/>
      <c r="K51" s="46"/>
      <c r="L51" s="51"/>
      <c r="M51" s="46"/>
      <c r="O51" s="46"/>
      <c r="P51" s="195"/>
      <c r="Q51" s="195"/>
      <c r="R51" s="195"/>
      <c r="S51" s="196"/>
    </row>
    <row r="52" spans="6:19" x14ac:dyDescent="0.2">
      <c r="F52" s="46"/>
      <c r="G52" s="46"/>
      <c r="H52" s="46"/>
      <c r="I52" s="46"/>
      <c r="K52" s="46"/>
      <c r="L52" s="51"/>
      <c r="M52" s="46"/>
      <c r="O52" s="46"/>
      <c r="P52" s="195"/>
      <c r="Q52" s="195"/>
      <c r="R52" s="195"/>
      <c r="S52" s="196"/>
    </row>
    <row r="53" spans="6:19" x14ac:dyDescent="0.2">
      <c r="F53" s="46"/>
      <c r="G53" s="46"/>
      <c r="H53" s="46"/>
      <c r="I53" s="46"/>
      <c r="K53" s="46"/>
      <c r="L53" s="51"/>
      <c r="M53" s="46"/>
      <c r="O53" s="46"/>
      <c r="P53" s="195"/>
      <c r="Q53" s="195"/>
      <c r="R53" s="195"/>
      <c r="S53" s="196"/>
    </row>
    <row r="54" spans="6:19" ht="25.5" customHeight="1" x14ac:dyDescent="0.2">
      <c r="F54" s="46"/>
      <c r="G54" s="46"/>
      <c r="H54" s="46"/>
      <c r="I54" s="46"/>
      <c r="K54" s="46"/>
      <c r="L54" s="51"/>
      <c r="M54" s="46"/>
      <c r="O54" s="46"/>
      <c r="P54" s="195"/>
      <c r="Q54" s="195"/>
      <c r="R54" s="195"/>
      <c r="S54" s="196"/>
    </row>
    <row r="55" spans="6:19" ht="27" customHeight="1" x14ac:dyDescent="0.2">
      <c r="F55" s="46"/>
      <c r="G55" s="46"/>
      <c r="H55" s="46"/>
      <c r="I55" s="46"/>
      <c r="K55" s="46"/>
      <c r="L55" s="51"/>
      <c r="M55" s="46"/>
      <c r="O55" s="46"/>
      <c r="P55" s="195"/>
      <c r="Q55" s="195"/>
      <c r="R55" s="195"/>
      <c r="S55" s="196"/>
    </row>
    <row r="56" spans="6:19" x14ac:dyDescent="0.2">
      <c r="P56" s="195"/>
      <c r="Q56" s="195"/>
      <c r="R56" s="195"/>
      <c r="S56" s="196"/>
    </row>
    <row r="57" spans="6:19" x14ac:dyDescent="0.2">
      <c r="R57" s="195"/>
      <c r="S57" s="196"/>
    </row>
    <row r="58" spans="6:19" x14ac:dyDescent="0.2">
      <c r="R58" s="195"/>
      <c r="S58" s="196"/>
    </row>
  </sheetData>
  <sheetProtection selectLockedCells="1"/>
  <mergeCells count="143">
    <mergeCell ref="B1:N1"/>
    <mergeCell ref="B2:N2"/>
    <mergeCell ref="B3:N3"/>
    <mergeCell ref="B4:N4"/>
    <mergeCell ref="R13:R14"/>
    <mergeCell ref="K33:M34"/>
    <mergeCell ref="C11:D13"/>
    <mergeCell ref="C5:D5"/>
    <mergeCell ref="F5:N5"/>
    <mergeCell ref="K13:K14"/>
    <mergeCell ref="L13:L14"/>
    <mergeCell ref="M9:M12"/>
    <mergeCell ref="N9:N12"/>
    <mergeCell ref="E11:E13"/>
    <mergeCell ref="F11:F12"/>
    <mergeCell ref="G11:I12"/>
    <mergeCell ref="P13:P14"/>
    <mergeCell ref="Q13:Q14"/>
    <mergeCell ref="N19:N20"/>
    <mergeCell ref="R20:R22"/>
    <mergeCell ref="R24:R25"/>
    <mergeCell ref="F23:F24"/>
    <mergeCell ref="H23:I24"/>
    <mergeCell ref="F25:F26"/>
    <mergeCell ref="B6:B8"/>
    <mergeCell ref="C6:C8"/>
    <mergeCell ref="D6:D8"/>
    <mergeCell ref="E6:E8"/>
    <mergeCell ref="F6:N6"/>
    <mergeCell ref="G7:J7"/>
    <mergeCell ref="K7:L7"/>
    <mergeCell ref="G8:J8"/>
    <mergeCell ref="B11:B13"/>
    <mergeCell ref="M13:M14"/>
    <mergeCell ref="N13:N14"/>
    <mergeCell ref="S13:S14"/>
    <mergeCell ref="B14:B17"/>
    <mergeCell ref="C14:C17"/>
    <mergeCell ref="D14:D17"/>
    <mergeCell ref="E14:E17"/>
    <mergeCell ref="S9:S10"/>
    <mergeCell ref="Q11:Q12"/>
    <mergeCell ref="K8:L8"/>
    <mergeCell ref="B9:B10"/>
    <mergeCell ref="C9:D10"/>
    <mergeCell ref="E9:E10"/>
    <mergeCell ref="F9:F10"/>
    <mergeCell ref="G9:I10"/>
    <mergeCell ref="J9:J10"/>
    <mergeCell ref="K9:K12"/>
    <mergeCell ref="P9:P10"/>
    <mergeCell ref="R9:R10"/>
    <mergeCell ref="L9:L12"/>
    <mergeCell ref="Q9:Q10"/>
    <mergeCell ref="F17:F18"/>
    <mergeCell ref="G17:G27"/>
    <mergeCell ref="H17:H18"/>
    <mergeCell ref="I17:I18"/>
    <mergeCell ref="J17:J18"/>
    <mergeCell ref="S20:S22"/>
    <mergeCell ref="P15:P16"/>
    <mergeCell ref="Q15:Q16"/>
    <mergeCell ref="S17:S18"/>
    <mergeCell ref="P18:P20"/>
    <mergeCell ref="J11:J12"/>
    <mergeCell ref="P11:P12"/>
    <mergeCell ref="F13:F14"/>
    <mergeCell ref="G13:I14"/>
    <mergeCell ref="Q18:Q20"/>
    <mergeCell ref="L19:L20"/>
    <mergeCell ref="M19:M20"/>
    <mergeCell ref="F15:F16"/>
    <mergeCell ref="R18:R19"/>
    <mergeCell ref="K17:K18"/>
    <mergeCell ref="L17:L18"/>
    <mergeCell ref="M17:M18"/>
    <mergeCell ref="N17:N18"/>
    <mergeCell ref="G15:I16"/>
    <mergeCell ref="J15:J16"/>
    <mergeCell ref="M15:M16"/>
    <mergeCell ref="N15:N16"/>
    <mergeCell ref="K19:K20"/>
    <mergeCell ref="S15:S16"/>
    <mergeCell ref="S24:S25"/>
    <mergeCell ref="J25:J26"/>
    <mergeCell ref="B19:B20"/>
    <mergeCell ref="C19:D20"/>
    <mergeCell ref="E19:E20"/>
    <mergeCell ref="F19:F20"/>
    <mergeCell ref="H19:I20"/>
    <mergeCell ref="J19:J20"/>
    <mergeCell ref="C24:C25"/>
    <mergeCell ref="J21:J22"/>
    <mergeCell ref="K21:K22"/>
    <mergeCell ref="L21:L22"/>
    <mergeCell ref="M21:M22"/>
    <mergeCell ref="J23:J24"/>
    <mergeCell ref="K23:K24"/>
    <mergeCell ref="L23:L24"/>
    <mergeCell ref="M23:M24"/>
    <mergeCell ref="K25:K26"/>
    <mergeCell ref="B21:B23"/>
    <mergeCell ref="C21:C23"/>
    <mergeCell ref="D21:D26"/>
    <mergeCell ref="E21:E26"/>
    <mergeCell ref="F21:F22"/>
    <mergeCell ref="H21:I22"/>
    <mergeCell ref="B24:B25"/>
    <mergeCell ref="L25:L26"/>
    <mergeCell ref="M25:M26"/>
    <mergeCell ref="H33:J34"/>
    <mergeCell ref="Q22:Q23"/>
    <mergeCell ref="N23:N24"/>
    <mergeCell ref="N21:N22"/>
    <mergeCell ref="P22:P23"/>
    <mergeCell ref="N25:N26"/>
    <mergeCell ref="H25:I26"/>
    <mergeCell ref="B27:B34"/>
    <mergeCell ref="C27:D34"/>
    <mergeCell ref="E27:E34"/>
    <mergeCell ref="H27:I27"/>
    <mergeCell ref="F28:M29"/>
    <mergeCell ref="N28:N29"/>
    <mergeCell ref="G30:I30"/>
    <mergeCell ref="B35:B37"/>
    <mergeCell ref="C35:C37"/>
    <mergeCell ref="D35:D39"/>
    <mergeCell ref="E35:E37"/>
    <mergeCell ref="H35:J35"/>
    <mergeCell ref="G37:M37"/>
    <mergeCell ref="B38:B39"/>
    <mergeCell ref="C38:C39"/>
    <mergeCell ref="E38:E39"/>
    <mergeCell ref="F38:H38"/>
    <mergeCell ref="R41:S41"/>
    <mergeCell ref="R42:S42"/>
    <mergeCell ref="I38:J38"/>
    <mergeCell ref="K38:L38"/>
    <mergeCell ref="M38:N38"/>
    <mergeCell ref="F39:H39"/>
    <mergeCell ref="I39:J39"/>
    <mergeCell ref="K39:L39"/>
    <mergeCell ref="M39:N39"/>
  </mergeCells>
  <printOptions verticalCentered="1"/>
  <pageMargins left="0.19685039370078741" right="0.19685039370078741" top="0.39370078740157483" bottom="0.39370078740157483" header="0.51181102362204722" footer="0.51181102362204722"/>
  <pageSetup orientation="landscape" verticalDpi="4294967295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4097" r:id="rId4">
          <objectPr defaultSize="0" autoPict="0" r:id="rId5">
            <anchor moveWithCells="1" sizeWithCells="1">
              <from>
                <xdr:col>1</xdr:col>
                <xdr:colOff>104775</xdr:colOff>
                <xdr:row>0</xdr:row>
                <xdr:rowOff>0</xdr:rowOff>
              </from>
              <to>
                <xdr:col>5</xdr:col>
                <xdr:colOff>104775</xdr:colOff>
                <xdr:row>3</xdr:row>
                <xdr:rowOff>133350</xdr:rowOff>
              </to>
            </anchor>
          </objectPr>
        </oleObject>
      </mc:Choice>
      <mc:Fallback>
        <oleObject progId="Word.Picture.8" shapeId="4097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4"/>
  <sheetViews>
    <sheetView zoomScaleNormal="100" workbookViewId="0">
      <selection activeCell="H25" sqref="H25"/>
    </sheetView>
  </sheetViews>
  <sheetFormatPr defaultRowHeight="12.75" x14ac:dyDescent="0.2"/>
  <cols>
    <col min="1" max="1" width="6" style="47" customWidth="1"/>
    <col min="2" max="3" width="3.42578125" style="48" customWidth="1"/>
    <col min="4" max="4" width="3.42578125" style="49" customWidth="1"/>
    <col min="5" max="5" width="5.85546875" style="52" customWidth="1"/>
    <col min="6" max="6" width="5.85546875" style="3" customWidth="1"/>
    <col min="7" max="7" width="10" style="3" customWidth="1"/>
    <col min="8" max="8" width="7.28515625" style="3" customWidth="1"/>
    <col min="9" max="9" width="10.140625" style="50" customWidth="1"/>
    <col min="10" max="10" width="12.140625" style="3" customWidth="1"/>
    <col min="11" max="11" width="8.28515625" style="53" customWidth="1"/>
    <col min="12" max="12" width="8.7109375" style="3" customWidth="1"/>
    <col min="13" max="13" width="9.5703125" style="53" customWidth="1"/>
    <col min="14" max="14" width="8.85546875" style="122" customWidth="1"/>
    <col min="15" max="15" width="4.85546875" style="122" hidden="1" customWidth="1"/>
    <col min="16" max="16" width="16" style="122" hidden="1" customWidth="1"/>
    <col min="17" max="17" width="1.85546875" style="122" hidden="1" customWidth="1"/>
    <col min="18" max="18" width="4.42578125" style="197" hidden="1" customWidth="1"/>
    <col min="19" max="19" width="9.140625" style="122" hidden="1" customWidth="1"/>
    <col min="20" max="20" width="16" style="122" hidden="1" customWidth="1"/>
    <col min="21" max="21" width="3.140625" style="122" hidden="1" customWidth="1"/>
    <col min="22" max="22" width="4" style="122" hidden="1" customWidth="1"/>
    <col min="23" max="25" width="1.85546875" style="122" hidden="1" customWidth="1"/>
    <col min="26" max="26" width="14.5703125" style="2" hidden="1" customWidth="1"/>
    <col min="27" max="27" width="4" style="2" hidden="1" customWidth="1"/>
    <col min="28" max="28" width="1.85546875" style="2" hidden="1" customWidth="1"/>
    <col min="29" max="33" width="9.140625" style="122" hidden="1" customWidth="1"/>
    <col min="34" max="36" width="9.140625" style="3" hidden="1" customWidth="1"/>
    <col min="37" max="44" width="9.140625" style="3" customWidth="1"/>
    <col min="45" max="16384" width="9.140625" style="3"/>
  </cols>
  <sheetData>
    <row r="1" spans="1:33" s="1" customFormat="1" ht="18" customHeight="1" x14ac:dyDescent="0.3">
      <c r="A1" s="119" t="str">
        <f>AA7</f>
        <v/>
      </c>
      <c r="B1" s="425" t="s">
        <v>0</v>
      </c>
      <c r="C1" s="425"/>
      <c r="D1" s="213" t="s">
        <v>1</v>
      </c>
      <c r="E1" s="410" t="s">
        <v>231</v>
      </c>
      <c r="F1" s="411"/>
      <c r="G1" s="411"/>
      <c r="H1" s="411"/>
      <c r="I1" s="411"/>
      <c r="J1" s="411"/>
      <c r="K1" s="411"/>
      <c r="L1" s="411"/>
      <c r="M1" s="412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3"/>
      <c r="AA1" s="123" t="str">
        <f>IF(A2&gt;239.99,"II","")</f>
        <v/>
      </c>
      <c r="AB1" s="123" t="str">
        <f>IF(A2&gt;254.99,"I","")</f>
        <v/>
      </c>
      <c r="AC1" s="121"/>
      <c r="AD1" s="121"/>
      <c r="AE1" s="121"/>
      <c r="AF1" s="121"/>
      <c r="AG1" s="121"/>
    </row>
    <row r="2" spans="1:33" ht="13.5" customHeight="1" thickBot="1" x14ac:dyDescent="0.25">
      <c r="A2" s="427">
        <f>M36</f>
        <v>0</v>
      </c>
      <c r="B2" s="430" t="s">
        <v>2</v>
      </c>
      <c r="C2" s="430"/>
      <c r="D2" s="431" t="s">
        <v>3</v>
      </c>
      <c r="E2" s="421" t="s">
        <v>4</v>
      </c>
      <c r="F2" s="422"/>
      <c r="G2" s="422"/>
      <c r="H2" s="422"/>
      <c r="I2" s="422"/>
      <c r="J2" s="422"/>
      <c r="K2" s="422"/>
      <c r="L2" s="422"/>
      <c r="M2" s="423"/>
      <c r="R2" s="122"/>
    </row>
    <row r="3" spans="1:33" s="7" customFormat="1" ht="11.25" customHeight="1" x14ac:dyDescent="0.2">
      <c r="A3" s="428"/>
      <c r="B3" s="430"/>
      <c r="C3" s="430"/>
      <c r="D3" s="431"/>
      <c r="E3" s="4" t="s">
        <v>5</v>
      </c>
      <c r="F3" s="424" t="s">
        <v>6</v>
      </c>
      <c r="G3" s="424"/>
      <c r="H3" s="424"/>
      <c r="I3" s="424"/>
      <c r="J3" s="424" t="s">
        <v>7</v>
      </c>
      <c r="K3" s="424"/>
      <c r="L3" s="5" t="s">
        <v>8</v>
      </c>
      <c r="M3" s="6" t="s">
        <v>9</v>
      </c>
      <c r="N3" s="178"/>
      <c r="O3" s="178"/>
      <c r="P3" s="178"/>
      <c r="Q3" s="178"/>
      <c r="R3" s="179"/>
      <c r="S3" s="178"/>
      <c r="T3" s="178"/>
      <c r="U3" s="178"/>
      <c r="V3" s="178"/>
      <c r="W3" s="178"/>
      <c r="X3" s="178"/>
      <c r="Y3" s="178"/>
      <c r="Z3" s="178"/>
      <c r="AA3" s="178"/>
      <c r="AB3" s="178"/>
      <c r="AC3" s="178"/>
      <c r="AD3" s="178"/>
      <c r="AE3" s="178"/>
      <c r="AF3" s="178"/>
      <c r="AG3" s="178"/>
    </row>
    <row r="4" spans="1:33" s="13" customFormat="1" ht="21" customHeight="1" thickBot="1" x14ac:dyDescent="0.25">
      <c r="A4" s="428"/>
      <c r="B4" s="430"/>
      <c r="C4" s="430"/>
      <c r="D4" s="431"/>
      <c r="E4" s="10" t="s">
        <v>10</v>
      </c>
      <c r="F4" s="437" t="s">
        <v>11</v>
      </c>
      <c r="G4" s="437"/>
      <c r="H4" s="437"/>
      <c r="I4" s="438"/>
      <c r="J4" s="439" t="s">
        <v>12</v>
      </c>
      <c r="K4" s="440"/>
      <c r="L4" s="11" t="s">
        <v>13</v>
      </c>
      <c r="M4" s="12" t="s">
        <v>14</v>
      </c>
      <c r="N4" s="182"/>
      <c r="O4" s="182"/>
      <c r="P4" s="182"/>
      <c r="Q4" s="61"/>
      <c r="R4" s="183"/>
      <c r="S4" s="182"/>
      <c r="T4" s="182"/>
      <c r="U4" s="182"/>
      <c r="V4" s="182"/>
      <c r="W4" s="182"/>
      <c r="X4" s="182"/>
      <c r="Y4" s="182"/>
      <c r="Z4" s="199"/>
      <c r="AA4" s="199"/>
      <c r="AB4" s="199"/>
      <c r="AC4" s="182"/>
      <c r="AD4" s="182"/>
      <c r="AE4" s="182"/>
      <c r="AF4" s="182"/>
      <c r="AG4" s="182"/>
    </row>
    <row r="5" spans="1:33" s="13" customFormat="1" ht="24.75" customHeight="1" x14ac:dyDescent="0.2">
      <c r="A5" s="429"/>
      <c r="B5" s="430"/>
      <c r="C5" s="430"/>
      <c r="D5" s="431"/>
      <c r="E5" s="16">
        <v>1</v>
      </c>
      <c r="F5" s="435" t="s">
        <v>15</v>
      </c>
      <c r="G5" s="435"/>
      <c r="H5" s="436"/>
      <c r="I5" s="169"/>
      <c r="J5" s="441" t="s">
        <v>16</v>
      </c>
      <c r="K5" s="443">
        <f>O5</f>
        <v>0</v>
      </c>
      <c r="L5" s="454">
        <v>0.5</v>
      </c>
      <c r="M5" s="447">
        <f>TRUNC(R5,2)</f>
        <v>0</v>
      </c>
      <c r="N5" s="182"/>
      <c r="O5" s="445">
        <f>TRUNC(P5,2)</f>
        <v>0</v>
      </c>
      <c r="P5" s="445">
        <f>(I5+I6)/2</f>
        <v>0</v>
      </c>
      <c r="Q5" s="445"/>
      <c r="R5" s="446">
        <f>O5*L5</f>
        <v>0</v>
      </c>
      <c r="S5" s="214"/>
      <c r="T5" s="182"/>
      <c r="U5" s="182"/>
      <c r="V5" s="182"/>
      <c r="W5" s="182"/>
      <c r="X5" s="182"/>
      <c r="Y5" s="182"/>
      <c r="Z5" s="199" t="str">
        <f>IF(A2&gt;159.99,Z11,"")</f>
        <v/>
      </c>
      <c r="AA5" s="199" t="str">
        <f>IF(A2&gt;169.99,AA11,"")</f>
        <v/>
      </c>
      <c r="AB5" s="199" t="str">
        <f>IF(A2&gt;179.99,AB11,"")</f>
        <v/>
      </c>
      <c r="AC5" s="182"/>
      <c r="AD5" s="182"/>
      <c r="AE5" s="182"/>
      <c r="AF5" s="182"/>
      <c r="AG5" s="182"/>
    </row>
    <row r="6" spans="1:33" s="13" customFormat="1" ht="24.75" customHeight="1" x14ac:dyDescent="0.2">
      <c r="A6" s="367"/>
      <c r="B6" s="433" t="s">
        <v>17</v>
      </c>
      <c r="C6" s="433"/>
      <c r="D6" s="434" t="s">
        <v>18</v>
      </c>
      <c r="E6" s="16">
        <v>2</v>
      </c>
      <c r="F6" s="435" t="s">
        <v>19</v>
      </c>
      <c r="G6" s="435"/>
      <c r="H6" s="436"/>
      <c r="I6" s="157"/>
      <c r="J6" s="442"/>
      <c r="K6" s="444"/>
      <c r="L6" s="455"/>
      <c r="M6" s="448"/>
      <c r="N6" s="182"/>
      <c r="O6" s="445"/>
      <c r="P6" s="445"/>
      <c r="Q6" s="445"/>
      <c r="R6" s="446"/>
      <c r="S6" s="182"/>
      <c r="T6" s="182"/>
      <c r="U6" s="182"/>
      <c r="V6" s="182"/>
      <c r="W6" s="182"/>
      <c r="X6" s="182"/>
      <c r="Y6" s="182"/>
      <c r="Z6" s="199"/>
      <c r="AA6" s="200">
        <f>MIN(Z5,AA5,AB5)</f>
        <v>0</v>
      </c>
      <c r="AB6" s="199"/>
      <c r="AC6" s="182"/>
      <c r="AD6" s="182"/>
      <c r="AE6" s="182"/>
      <c r="AF6" s="182"/>
      <c r="AG6" s="182"/>
    </row>
    <row r="7" spans="1:33" s="13" customFormat="1" ht="24.75" customHeight="1" x14ac:dyDescent="0.2">
      <c r="A7" s="367"/>
      <c r="B7" s="433"/>
      <c r="C7" s="433"/>
      <c r="D7" s="434"/>
      <c r="E7" s="16">
        <v>3</v>
      </c>
      <c r="F7" s="435" t="s">
        <v>20</v>
      </c>
      <c r="G7" s="435"/>
      <c r="H7" s="436"/>
      <c r="I7" s="157"/>
      <c r="J7" s="441" t="s">
        <v>16</v>
      </c>
      <c r="K7" s="443">
        <f>O7</f>
        <v>0</v>
      </c>
      <c r="L7" s="575">
        <v>0.25</v>
      </c>
      <c r="M7" s="448">
        <f>TRUNC(R7,2)</f>
        <v>0</v>
      </c>
      <c r="N7" s="182"/>
      <c r="O7" s="445">
        <f>TRUNC(P7,2)</f>
        <v>0</v>
      </c>
      <c r="P7" s="445">
        <f>(I7+I8)/2</f>
        <v>0</v>
      </c>
      <c r="Q7" s="445"/>
      <c r="R7" s="446">
        <f>O7*L7</f>
        <v>0</v>
      </c>
      <c r="S7" s="182"/>
      <c r="T7" s="182"/>
      <c r="U7" s="182"/>
      <c r="V7" s="182"/>
      <c r="W7" s="182"/>
      <c r="X7" s="182"/>
      <c r="Y7" s="85">
        <f>I7-U7</f>
        <v>0</v>
      </c>
      <c r="Z7" s="201"/>
      <c r="AA7" s="201" t="str">
        <f>ROMAN(AA6)</f>
        <v/>
      </c>
      <c r="AB7" s="201"/>
      <c r="AC7" s="85"/>
      <c r="AD7" s="85"/>
      <c r="AE7" s="85"/>
      <c r="AF7" s="182"/>
      <c r="AG7" s="182"/>
    </row>
    <row r="8" spans="1:33" s="13" customFormat="1" ht="24.75" customHeight="1" x14ac:dyDescent="0.2">
      <c r="A8" s="367"/>
      <c r="B8" s="433" t="s">
        <v>21</v>
      </c>
      <c r="C8" s="433"/>
      <c r="D8" s="434" t="s">
        <v>22</v>
      </c>
      <c r="E8" s="16">
        <v>4</v>
      </c>
      <c r="F8" s="435" t="s">
        <v>23</v>
      </c>
      <c r="G8" s="435"/>
      <c r="H8" s="436"/>
      <c r="I8" s="157"/>
      <c r="J8" s="442"/>
      <c r="K8" s="444"/>
      <c r="L8" s="576"/>
      <c r="M8" s="448"/>
      <c r="N8" s="182"/>
      <c r="O8" s="445"/>
      <c r="P8" s="445"/>
      <c r="Q8" s="445"/>
      <c r="R8" s="446"/>
      <c r="S8" s="182"/>
      <c r="T8" s="182"/>
      <c r="U8" s="182"/>
      <c r="V8" s="182"/>
      <c r="W8" s="182"/>
      <c r="X8" s="182"/>
      <c r="Y8" s="182">
        <f>(IF(Y7&gt;0,"",I7))</f>
        <v>0</v>
      </c>
      <c r="Z8" s="199"/>
      <c r="AA8" s="199"/>
      <c r="AB8" s="199"/>
      <c r="AC8" s="182"/>
      <c r="AD8" s="182"/>
      <c r="AE8" s="182"/>
      <c r="AF8" s="182"/>
      <c r="AG8" s="182"/>
    </row>
    <row r="9" spans="1:33" s="13" customFormat="1" ht="24.75" customHeight="1" x14ac:dyDescent="0.2">
      <c r="A9" s="367"/>
      <c r="B9" s="433"/>
      <c r="C9" s="433"/>
      <c r="D9" s="434"/>
      <c r="E9" s="16">
        <v>7</v>
      </c>
      <c r="F9" s="435" t="s">
        <v>24</v>
      </c>
      <c r="G9" s="435"/>
      <c r="H9" s="436"/>
      <c r="I9" s="157"/>
      <c r="J9" s="441" t="s">
        <v>16</v>
      </c>
      <c r="K9" s="443">
        <f>O9</f>
        <v>0</v>
      </c>
      <c r="L9" s="454">
        <v>1</v>
      </c>
      <c r="M9" s="448">
        <f>TRUNC(R9,2)</f>
        <v>0</v>
      </c>
      <c r="N9" s="182"/>
      <c r="O9" s="445">
        <f>TRUNC(P9,2)</f>
        <v>0</v>
      </c>
      <c r="P9" s="445">
        <f>(I9+I10)/2</f>
        <v>0</v>
      </c>
      <c r="Q9" s="445"/>
      <c r="R9" s="446">
        <f>O9*L9</f>
        <v>0</v>
      </c>
      <c r="S9" s="182"/>
      <c r="T9" s="182"/>
      <c r="U9" s="182"/>
      <c r="V9" s="182"/>
      <c r="W9" s="182"/>
      <c r="X9" s="182"/>
      <c r="Y9" s="182"/>
      <c r="Z9" s="199"/>
      <c r="AA9" s="199"/>
      <c r="AB9" s="199"/>
      <c r="AC9" s="182"/>
      <c r="AD9" s="182"/>
      <c r="AE9" s="182"/>
      <c r="AF9" s="182"/>
      <c r="AG9" s="182"/>
    </row>
    <row r="10" spans="1:33" s="13" customFormat="1" ht="24.75" customHeight="1" x14ac:dyDescent="0.2">
      <c r="A10" s="367"/>
      <c r="B10" s="433"/>
      <c r="C10" s="433"/>
      <c r="D10" s="434"/>
      <c r="E10" s="16">
        <v>8</v>
      </c>
      <c r="F10" s="435" t="s">
        <v>25</v>
      </c>
      <c r="G10" s="435"/>
      <c r="H10" s="436"/>
      <c r="I10" s="157"/>
      <c r="J10" s="442"/>
      <c r="K10" s="444"/>
      <c r="L10" s="455"/>
      <c r="M10" s="448"/>
      <c r="N10" s="182"/>
      <c r="O10" s="445"/>
      <c r="P10" s="445"/>
      <c r="Q10" s="445"/>
      <c r="R10" s="446"/>
      <c r="S10" s="182"/>
      <c r="T10" s="182"/>
      <c r="U10" s="182"/>
      <c r="V10" s="182"/>
      <c r="W10" s="182"/>
      <c r="X10" s="182"/>
      <c r="Y10" s="182"/>
      <c r="Z10" s="199"/>
      <c r="AA10" s="199"/>
      <c r="AB10" s="199"/>
      <c r="AC10" s="182"/>
      <c r="AD10" s="182"/>
      <c r="AE10" s="182"/>
      <c r="AF10" s="182"/>
      <c r="AG10" s="182"/>
    </row>
    <row r="11" spans="1:33" s="13" customFormat="1" ht="24.75" customHeight="1" x14ac:dyDescent="0.2">
      <c r="A11" s="367"/>
      <c r="B11" s="433" t="s">
        <v>26</v>
      </c>
      <c r="C11" s="433" t="s">
        <v>27</v>
      </c>
      <c r="D11" s="434" t="s">
        <v>28</v>
      </c>
      <c r="E11" s="16">
        <v>9</v>
      </c>
      <c r="F11" s="435" t="s">
        <v>29</v>
      </c>
      <c r="G11" s="435"/>
      <c r="H11" s="436"/>
      <c r="I11" s="157"/>
      <c r="J11" s="441" t="s">
        <v>30</v>
      </c>
      <c r="K11" s="443">
        <f>O11</f>
        <v>0</v>
      </c>
      <c r="L11" s="454">
        <v>1.5</v>
      </c>
      <c r="M11" s="448">
        <f>TRUNC(R11,2)</f>
        <v>0</v>
      </c>
      <c r="N11" s="182"/>
      <c r="O11" s="445">
        <f>TRUNC(P11,2)</f>
        <v>0</v>
      </c>
      <c r="P11" s="445">
        <f>(I11+I12)/2</f>
        <v>0</v>
      </c>
      <c r="Q11" s="453"/>
      <c r="R11" s="446">
        <f>O11*L11</f>
        <v>0</v>
      </c>
      <c r="S11" s="182"/>
      <c r="T11" s="182"/>
      <c r="U11" s="182"/>
      <c r="V11" s="182"/>
      <c r="W11" s="182"/>
      <c r="X11" s="182"/>
      <c r="Y11" s="182"/>
      <c r="Z11" s="199">
        <v>3</v>
      </c>
      <c r="AA11" s="199">
        <v>2</v>
      </c>
      <c r="AB11" s="199">
        <v>1</v>
      </c>
      <c r="AC11" s="182"/>
      <c r="AD11" s="182"/>
      <c r="AE11" s="182"/>
      <c r="AF11" s="182"/>
      <c r="AG11" s="182"/>
    </row>
    <row r="12" spans="1:33" s="13" customFormat="1" ht="24.75" customHeight="1" x14ac:dyDescent="0.2">
      <c r="A12" s="367"/>
      <c r="B12" s="433"/>
      <c r="C12" s="433"/>
      <c r="D12" s="434"/>
      <c r="E12" s="16">
        <v>10</v>
      </c>
      <c r="F12" s="435" t="s">
        <v>31</v>
      </c>
      <c r="G12" s="435"/>
      <c r="H12" s="436"/>
      <c r="I12" s="157"/>
      <c r="J12" s="442"/>
      <c r="K12" s="444"/>
      <c r="L12" s="455"/>
      <c r="M12" s="448"/>
      <c r="N12" s="182"/>
      <c r="O12" s="445"/>
      <c r="P12" s="445"/>
      <c r="Q12" s="453"/>
      <c r="R12" s="446"/>
      <c r="S12" s="182"/>
      <c r="T12" s="182"/>
      <c r="U12" s="182"/>
      <c r="V12" s="182"/>
      <c r="W12" s="182"/>
      <c r="X12" s="182"/>
      <c r="Y12" s="182"/>
      <c r="Z12" s="199"/>
      <c r="AA12" s="199"/>
      <c r="AB12" s="199"/>
      <c r="AC12" s="182"/>
      <c r="AD12" s="182"/>
      <c r="AE12" s="182"/>
      <c r="AF12" s="182"/>
      <c r="AG12" s="182"/>
    </row>
    <row r="13" spans="1:33" s="13" customFormat="1" ht="24.75" customHeight="1" x14ac:dyDescent="0.2">
      <c r="A13" s="367"/>
      <c r="B13" s="433"/>
      <c r="C13" s="433"/>
      <c r="D13" s="434"/>
      <c r="E13" s="16">
        <v>11</v>
      </c>
      <c r="F13" s="435" t="s">
        <v>32</v>
      </c>
      <c r="G13" s="435"/>
      <c r="H13" s="436"/>
      <c r="I13" s="157"/>
      <c r="J13" s="402" t="s">
        <v>33</v>
      </c>
      <c r="K13" s="443">
        <f>O13</f>
        <v>0</v>
      </c>
      <c r="L13" s="454">
        <v>1</v>
      </c>
      <c r="M13" s="448">
        <f>TRUNC(R13,2)</f>
        <v>0</v>
      </c>
      <c r="N13" s="182"/>
      <c r="O13" s="445">
        <f>TRUNC(P13,2)</f>
        <v>0</v>
      </c>
      <c r="P13" s="446">
        <f>(I13+I14)/2</f>
        <v>0</v>
      </c>
      <c r="Q13" s="453"/>
      <c r="R13" s="446">
        <f>O13*L13</f>
        <v>0</v>
      </c>
      <c r="S13" s="182"/>
      <c r="T13" s="182"/>
      <c r="U13" s="182"/>
      <c r="V13" s="182"/>
      <c r="W13" s="182"/>
      <c r="X13" s="182"/>
      <c r="Y13" s="182"/>
      <c r="Z13" s="199"/>
      <c r="AA13" s="199"/>
      <c r="AB13" s="199"/>
      <c r="AC13" s="182"/>
      <c r="AD13" s="182"/>
      <c r="AE13" s="182"/>
      <c r="AF13" s="182"/>
      <c r="AG13" s="182"/>
    </row>
    <row r="14" spans="1:33" s="13" customFormat="1" ht="24.75" customHeight="1" x14ac:dyDescent="0.2">
      <c r="A14" s="367"/>
      <c r="B14" s="433"/>
      <c r="C14" s="433"/>
      <c r="D14" s="434"/>
      <c r="E14" s="16">
        <v>12</v>
      </c>
      <c r="F14" s="435" t="s">
        <v>34</v>
      </c>
      <c r="G14" s="435"/>
      <c r="H14" s="436"/>
      <c r="I14" s="157"/>
      <c r="J14" s="456"/>
      <c r="K14" s="444"/>
      <c r="L14" s="455"/>
      <c r="M14" s="448"/>
      <c r="N14" s="182"/>
      <c r="O14" s="445"/>
      <c r="P14" s="445"/>
      <c r="Q14" s="453"/>
      <c r="R14" s="446"/>
      <c r="S14" s="182"/>
      <c r="T14" s="182"/>
      <c r="U14" s="182"/>
      <c r="V14" s="182"/>
      <c r="W14" s="182"/>
      <c r="X14" s="182"/>
      <c r="Y14" s="182"/>
      <c r="Z14" s="203" t="s">
        <v>146</v>
      </c>
      <c r="AA14" s="199"/>
      <c r="AB14" s="199"/>
      <c r="AC14" s="182" t="str">
        <f>(IF(AA6=3,Z14,""))</f>
        <v/>
      </c>
      <c r="AD14" s="182"/>
      <c r="AE14" s="182"/>
      <c r="AF14" s="182"/>
      <c r="AG14" s="182"/>
    </row>
    <row r="15" spans="1:33" s="13" customFormat="1" ht="24.75" customHeight="1" x14ac:dyDescent="0.2">
      <c r="A15" s="367"/>
      <c r="B15" s="433"/>
      <c r="C15" s="433"/>
      <c r="D15" s="434"/>
      <c r="E15" s="16">
        <v>13</v>
      </c>
      <c r="F15" s="436" t="s">
        <v>35</v>
      </c>
      <c r="G15" s="574"/>
      <c r="H15" s="458"/>
      <c r="I15" s="157"/>
      <c r="J15" s="402" t="s">
        <v>36</v>
      </c>
      <c r="K15" s="443">
        <f>O15</f>
        <v>0</v>
      </c>
      <c r="L15" s="454">
        <v>1</v>
      </c>
      <c r="M15" s="448">
        <f>TRUNC(R15,2)</f>
        <v>0</v>
      </c>
      <c r="N15" s="182"/>
      <c r="O15" s="446">
        <f>TRUNC(P15,2)</f>
        <v>0</v>
      </c>
      <c r="P15" s="446">
        <f>(I15+I16)</f>
        <v>0</v>
      </c>
      <c r="Q15" s="453"/>
      <c r="R15" s="446">
        <f>O15*L15</f>
        <v>0</v>
      </c>
      <c r="S15" s="85"/>
      <c r="T15" s="182"/>
      <c r="U15" s="182"/>
      <c r="V15" s="182"/>
      <c r="W15" s="182"/>
      <c r="X15" s="182"/>
      <c r="Y15" s="182"/>
      <c r="Z15" s="203" t="s">
        <v>147</v>
      </c>
      <c r="AA15" s="199"/>
      <c r="AB15" s="199"/>
      <c r="AC15" s="182" t="str">
        <f>(IF(AA6=2,Z15,""))</f>
        <v/>
      </c>
      <c r="AD15" s="182"/>
      <c r="AE15" s="182"/>
      <c r="AF15" s="182"/>
      <c r="AG15" s="182"/>
    </row>
    <row r="16" spans="1:33" s="13" customFormat="1" ht="24.75" customHeight="1" x14ac:dyDescent="0.2">
      <c r="A16" s="367"/>
      <c r="B16" s="433" t="s">
        <v>37</v>
      </c>
      <c r="C16" s="433"/>
      <c r="D16" s="434" t="s">
        <v>38</v>
      </c>
      <c r="E16" s="16">
        <v>14</v>
      </c>
      <c r="F16" s="436" t="s">
        <v>39</v>
      </c>
      <c r="G16" s="574"/>
      <c r="H16" s="458"/>
      <c r="I16" s="157"/>
      <c r="J16" s="456"/>
      <c r="K16" s="444"/>
      <c r="L16" s="455"/>
      <c r="M16" s="448"/>
      <c r="N16" s="182"/>
      <c r="O16" s="445"/>
      <c r="P16" s="445"/>
      <c r="Q16" s="453"/>
      <c r="R16" s="446"/>
      <c r="S16" s="85"/>
      <c r="T16" s="182" t="s">
        <v>234</v>
      </c>
      <c r="U16" s="182"/>
      <c r="V16" s="182"/>
      <c r="W16" s="182"/>
      <c r="X16" s="182"/>
      <c r="Y16" s="182"/>
      <c r="Z16" s="203" t="s">
        <v>190</v>
      </c>
      <c r="AA16" s="199"/>
      <c r="AB16" s="199"/>
      <c r="AC16" s="182" t="str">
        <f>(IF(AA6=1,Z16,""))</f>
        <v/>
      </c>
      <c r="AD16" s="182"/>
      <c r="AE16" s="182"/>
      <c r="AF16" s="182"/>
      <c r="AG16" s="182"/>
    </row>
    <row r="17" spans="1:33" s="13" customFormat="1" ht="24.75" customHeight="1" x14ac:dyDescent="0.2">
      <c r="A17" s="367"/>
      <c r="B17" s="433"/>
      <c r="C17" s="433"/>
      <c r="D17" s="434"/>
      <c r="E17" s="16">
        <v>15</v>
      </c>
      <c r="F17" s="436" t="s">
        <v>40</v>
      </c>
      <c r="G17" s="574"/>
      <c r="H17" s="458"/>
      <c r="I17" s="157"/>
      <c r="J17" s="461" t="s">
        <v>41</v>
      </c>
      <c r="K17" s="443">
        <f>O17</f>
        <v>0</v>
      </c>
      <c r="L17" s="454">
        <v>1</v>
      </c>
      <c r="M17" s="448">
        <f>TRUNC(R17,2)</f>
        <v>0</v>
      </c>
      <c r="N17" s="312" t="str">
        <f>(IF(T17=T16,1.3,""))</f>
        <v/>
      </c>
      <c r="O17" s="446">
        <f>TRUNC(P17,2)</f>
        <v>0</v>
      </c>
      <c r="P17" s="446">
        <f>(I17+I18)</f>
        <v>0</v>
      </c>
      <c r="Q17" s="453"/>
      <c r="R17" s="446">
        <f>O17*L17</f>
        <v>0</v>
      </c>
      <c r="S17" s="85"/>
      <c r="T17" s="182" t="str">
        <f>IF(I17&gt;(I15*1.3),T16,"")</f>
        <v/>
      </c>
      <c r="U17" s="182"/>
      <c r="V17" s="182"/>
      <c r="W17" s="182"/>
      <c r="X17" s="182"/>
      <c r="Y17" s="182"/>
      <c r="Z17" s="199"/>
      <c r="AA17" s="199"/>
      <c r="AB17" s="199"/>
      <c r="AC17" s="182" t="str">
        <f>CONCATENATE(AC16,AC15,AC14)</f>
        <v/>
      </c>
      <c r="AD17" s="182"/>
      <c r="AE17" s="182"/>
      <c r="AF17" s="182"/>
      <c r="AG17" s="182"/>
    </row>
    <row r="18" spans="1:33" s="13" customFormat="1" ht="24.75" customHeight="1" thickBot="1" x14ac:dyDescent="0.25">
      <c r="A18" s="378"/>
      <c r="B18" s="433" t="s">
        <v>42</v>
      </c>
      <c r="C18" s="433" t="s">
        <v>43</v>
      </c>
      <c r="D18" s="434" t="s">
        <v>44</v>
      </c>
      <c r="E18" s="16">
        <v>16</v>
      </c>
      <c r="F18" s="436" t="s">
        <v>45</v>
      </c>
      <c r="G18" s="574"/>
      <c r="H18" s="458"/>
      <c r="I18" s="22"/>
      <c r="J18" s="462"/>
      <c r="K18" s="444"/>
      <c r="L18" s="455"/>
      <c r="M18" s="448"/>
      <c r="N18" s="312" t="str">
        <f>(IF(T18=T16,1.3,""))</f>
        <v/>
      </c>
      <c r="O18" s="445"/>
      <c r="P18" s="445"/>
      <c r="Q18" s="453"/>
      <c r="R18" s="446"/>
      <c r="S18" s="182"/>
      <c r="T18" s="182" t="str">
        <f>IF(I18&gt;(I16*1.3),T16,"")</f>
        <v/>
      </c>
      <c r="U18" s="182"/>
      <c r="V18" s="182"/>
      <c r="W18" s="182"/>
      <c r="X18" s="182"/>
      <c r="Y18" s="182"/>
      <c r="Z18" s="199"/>
      <c r="AA18" s="199"/>
      <c r="AB18" s="199"/>
      <c r="AC18" s="182"/>
      <c r="AD18" s="182"/>
      <c r="AE18" s="182"/>
      <c r="AF18" s="182"/>
      <c r="AG18" s="182"/>
    </row>
    <row r="19" spans="1:33" s="13" customFormat="1" ht="12" customHeight="1" x14ac:dyDescent="0.2">
      <c r="A19" s="378"/>
      <c r="B19" s="433"/>
      <c r="C19" s="433"/>
      <c r="D19" s="434"/>
      <c r="E19" s="461">
        <v>21</v>
      </c>
      <c r="F19" s="474" t="s">
        <v>46</v>
      </c>
      <c r="G19" s="475"/>
      <c r="H19" s="475"/>
      <c r="I19" s="24"/>
      <c r="J19" s="472" t="s">
        <v>47</v>
      </c>
      <c r="K19" s="443">
        <f>O19</f>
        <v>-0.25</v>
      </c>
      <c r="L19" s="454">
        <v>2</v>
      </c>
      <c r="M19" s="448">
        <f>TRUNC(R19,2)</f>
        <v>0</v>
      </c>
      <c r="N19" s="182"/>
      <c r="O19" s="445">
        <f>TRUNC(P19,2)</f>
        <v>-0.25</v>
      </c>
      <c r="P19" s="446">
        <f>(I19-I20)</f>
        <v>-0.25</v>
      </c>
      <c r="Q19" s="446" t="str">
        <f>IF(P19&gt;0,O19,"0")</f>
        <v>0</v>
      </c>
      <c r="R19" s="446">
        <f>Q19*L19</f>
        <v>0</v>
      </c>
      <c r="S19" s="182"/>
      <c r="T19" s="182"/>
      <c r="U19" s="182"/>
      <c r="V19" s="182"/>
      <c r="W19" s="182"/>
      <c r="X19" s="182"/>
      <c r="Y19" s="182"/>
      <c r="Z19" s="199"/>
      <c r="AA19" s="199"/>
      <c r="AB19" s="199"/>
      <c r="AC19" s="182"/>
      <c r="AD19" s="182"/>
      <c r="AE19" s="182"/>
      <c r="AF19" s="182"/>
      <c r="AG19" s="182"/>
    </row>
    <row r="20" spans="1:33" s="13" customFormat="1" ht="12" customHeight="1" x14ac:dyDescent="0.2">
      <c r="A20" s="378"/>
      <c r="B20" s="433"/>
      <c r="C20" s="433"/>
      <c r="D20" s="434"/>
      <c r="E20" s="462"/>
      <c r="F20" s="476"/>
      <c r="G20" s="477"/>
      <c r="H20" s="477"/>
      <c r="I20" s="25">
        <v>0.25</v>
      </c>
      <c r="J20" s="473"/>
      <c r="K20" s="444"/>
      <c r="L20" s="455"/>
      <c r="M20" s="460"/>
      <c r="N20" s="182"/>
      <c r="O20" s="445"/>
      <c r="P20" s="445"/>
      <c r="Q20" s="446"/>
      <c r="R20" s="446"/>
      <c r="S20" s="182"/>
      <c r="T20" s="182"/>
      <c r="U20" s="182"/>
      <c r="V20" s="182"/>
      <c r="W20" s="182"/>
      <c r="X20" s="182"/>
      <c r="Y20" s="182"/>
      <c r="Z20" s="199"/>
      <c r="AA20" s="199"/>
      <c r="AB20" s="199"/>
      <c r="AC20" s="182"/>
      <c r="AD20" s="182"/>
      <c r="AE20" s="182"/>
      <c r="AF20" s="182"/>
      <c r="AG20" s="182"/>
    </row>
    <row r="21" spans="1:33" s="13" customFormat="1" ht="24.75" customHeight="1" x14ac:dyDescent="0.2">
      <c r="A21" s="378"/>
      <c r="B21" s="433"/>
      <c r="C21" s="433"/>
      <c r="D21" s="434"/>
      <c r="E21" s="16">
        <v>24</v>
      </c>
      <c r="F21" s="579" t="s">
        <v>48</v>
      </c>
      <c r="G21" s="436" t="s">
        <v>49</v>
      </c>
      <c r="H21" s="458"/>
      <c r="I21" s="157"/>
      <c r="J21" s="26" t="s">
        <v>50</v>
      </c>
      <c r="K21" s="27"/>
      <c r="L21" s="28">
        <v>1</v>
      </c>
      <c r="M21" s="29">
        <f>L21*I21</f>
        <v>0</v>
      </c>
      <c r="N21" s="182"/>
      <c r="O21" s="85"/>
      <c r="P21" s="85"/>
      <c r="Q21" s="90"/>
      <c r="R21" s="187"/>
      <c r="S21" s="182"/>
      <c r="T21" s="182" t="e">
        <f>H25/K5%</f>
        <v>#DIV/0!</v>
      </c>
      <c r="U21" s="199">
        <f>(IF(K25&lt;59.9,U23,""))</f>
        <v>6</v>
      </c>
      <c r="V21" s="199">
        <f>IF($K$25&lt;65,V23,"")</f>
        <v>5</v>
      </c>
      <c r="W21" s="199">
        <f>IF($K$25&lt;70,W23,"")</f>
        <v>4</v>
      </c>
      <c r="X21" s="199">
        <f>IF($K$25&lt;75,X23,"")</f>
        <v>3</v>
      </c>
      <c r="Y21" s="199">
        <f>IF($K$25&lt;80,Y23,"")</f>
        <v>2</v>
      </c>
      <c r="Z21" s="199">
        <f>IF($K$25&lt;85,Z23,"")</f>
        <v>1</v>
      </c>
      <c r="AA21" s="199"/>
      <c r="AB21" s="199"/>
      <c r="AC21" s="182"/>
      <c r="AD21" s="182"/>
      <c r="AE21" s="182"/>
      <c r="AF21" s="182"/>
      <c r="AG21" s="182"/>
    </row>
    <row r="22" spans="1:33" s="13" customFormat="1" ht="24.75" customHeight="1" x14ac:dyDescent="0.2">
      <c r="A22" s="378"/>
      <c r="B22" s="433" t="s">
        <v>51</v>
      </c>
      <c r="C22" s="433"/>
      <c r="D22" s="434"/>
      <c r="E22" s="16">
        <v>30</v>
      </c>
      <c r="F22" s="580"/>
      <c r="G22" s="436" t="s">
        <v>52</v>
      </c>
      <c r="H22" s="458"/>
      <c r="I22" s="157"/>
      <c r="J22" s="26" t="s">
        <v>53</v>
      </c>
      <c r="K22" s="27"/>
      <c r="L22" s="28">
        <v>1</v>
      </c>
      <c r="M22" s="29">
        <f>L22*I22</f>
        <v>0</v>
      </c>
      <c r="N22" s="182"/>
      <c r="O22" s="85"/>
      <c r="P22" s="85"/>
      <c r="Q22" s="90"/>
      <c r="R22" s="187"/>
      <c r="S22" s="182"/>
      <c r="T22" s="266" t="str">
        <f>(IF(H25&gt;0,U22,""))</f>
        <v/>
      </c>
      <c r="U22" s="268">
        <f>IFERROR(V22,0)</f>
        <v>6</v>
      </c>
      <c r="V22" s="200">
        <f>MAX(U21,V21,W21,X21,Y21,Z21)</f>
        <v>6</v>
      </c>
      <c r="W22" s="199"/>
      <c r="X22" s="182"/>
      <c r="Y22" s="182"/>
      <c r="Z22" s="199"/>
      <c r="AA22" s="199"/>
      <c r="AB22" s="199"/>
      <c r="AC22" s="182"/>
      <c r="AD22" s="182"/>
      <c r="AE22" s="182"/>
      <c r="AF22" s="182"/>
      <c r="AG22" s="182"/>
    </row>
    <row r="23" spans="1:33" s="13" customFormat="1" ht="24.75" customHeight="1" thickBot="1" x14ac:dyDescent="0.25">
      <c r="A23" s="378"/>
      <c r="B23" s="433"/>
      <c r="C23" s="433"/>
      <c r="D23" s="434"/>
      <c r="E23" s="16">
        <v>31</v>
      </c>
      <c r="F23" s="580"/>
      <c r="G23" s="436" t="s">
        <v>54</v>
      </c>
      <c r="H23" s="458"/>
      <c r="I23" s="157"/>
      <c r="J23" s="26" t="s">
        <v>55</v>
      </c>
      <c r="K23" s="27"/>
      <c r="L23" s="28">
        <v>1</v>
      </c>
      <c r="M23" s="29">
        <f>L23*I23</f>
        <v>0</v>
      </c>
      <c r="N23" s="182"/>
      <c r="O23" s="85"/>
      <c r="P23" s="85"/>
      <c r="Q23" s="90"/>
      <c r="R23" s="187"/>
      <c r="S23" s="182"/>
      <c r="T23" s="182"/>
      <c r="U23" s="199">
        <v>6</v>
      </c>
      <c r="V23" s="199">
        <v>5</v>
      </c>
      <c r="W23" s="199">
        <v>4</v>
      </c>
      <c r="X23" s="182">
        <v>3</v>
      </c>
      <c r="Y23" s="182">
        <v>2</v>
      </c>
      <c r="Z23" s="199">
        <v>1</v>
      </c>
      <c r="AA23" s="199"/>
      <c r="AB23" s="199"/>
      <c r="AC23" s="182"/>
      <c r="AD23" s="182"/>
      <c r="AE23" s="182"/>
      <c r="AF23" s="182"/>
      <c r="AG23" s="182"/>
    </row>
    <row r="24" spans="1:33" s="13" customFormat="1" ht="24.75" customHeight="1" thickBot="1" x14ac:dyDescent="0.25">
      <c r="A24" s="21"/>
      <c r="B24" s="30" t="s">
        <v>56</v>
      </c>
      <c r="C24" s="433"/>
      <c r="D24" s="434"/>
      <c r="E24" s="498" t="s">
        <v>57</v>
      </c>
      <c r="F24" s="499"/>
      <c r="G24" s="499"/>
      <c r="H24" s="31"/>
      <c r="I24" s="32"/>
      <c r="J24" s="33"/>
      <c r="K24" s="34"/>
      <c r="L24" s="35"/>
      <c r="M24" s="36">
        <f>SUM(M5:M23)</f>
        <v>0</v>
      </c>
      <c r="N24" s="182"/>
      <c r="O24" s="85"/>
      <c r="P24" s="85"/>
      <c r="Q24" s="90"/>
      <c r="R24" s="187"/>
      <c r="S24" s="182"/>
      <c r="T24" s="182"/>
      <c r="U24" s="182"/>
      <c r="V24" s="182"/>
      <c r="W24" s="182"/>
      <c r="X24" s="182"/>
      <c r="Y24" s="182"/>
      <c r="Z24" s="199"/>
      <c r="AA24" s="199"/>
      <c r="AB24" s="199"/>
      <c r="AC24" s="182"/>
      <c r="AD24" s="182"/>
      <c r="AE24" s="182"/>
      <c r="AF24" s="182"/>
      <c r="AG24" s="182"/>
    </row>
    <row r="25" spans="1:33" s="13" customFormat="1" ht="20.25" customHeight="1" x14ac:dyDescent="0.2">
      <c r="A25" s="367"/>
      <c r="B25" s="466" t="s">
        <v>58</v>
      </c>
      <c r="C25" s="467"/>
      <c r="D25" s="434" t="s">
        <v>59</v>
      </c>
      <c r="E25" s="16">
        <v>32</v>
      </c>
      <c r="F25" s="587" t="s">
        <v>60</v>
      </c>
      <c r="G25" s="37" t="s">
        <v>61</v>
      </c>
      <c r="H25" s="307"/>
      <c r="I25" s="62" t="str">
        <f>T22</f>
        <v/>
      </c>
      <c r="J25" s="26" t="s">
        <v>53</v>
      </c>
      <c r="K25" s="38">
        <f>O25</f>
        <v>0</v>
      </c>
      <c r="L25" s="28">
        <v>1</v>
      </c>
      <c r="M25" s="215">
        <f>Q25</f>
        <v>0</v>
      </c>
      <c r="N25" s="182"/>
      <c r="O25" s="85">
        <f>IFERROR(P25,0)</f>
        <v>0</v>
      </c>
      <c r="P25" s="85" t="e">
        <f>H25/K5*100</f>
        <v>#DIV/0!</v>
      </c>
      <c r="Q25" s="13">
        <f>IFERROR(I25*L25,0)</f>
        <v>0</v>
      </c>
      <c r="R25" s="187"/>
      <c r="S25" s="182"/>
      <c r="T25" s="182"/>
      <c r="U25" s="182"/>
      <c r="V25" s="182"/>
      <c r="W25" s="182"/>
      <c r="X25" s="182"/>
      <c r="Y25" s="122"/>
      <c r="Z25" s="2"/>
      <c r="AA25" s="2"/>
      <c r="AB25" s="2"/>
      <c r="AC25" s="122"/>
      <c r="AD25" s="122"/>
      <c r="AE25" s="122"/>
      <c r="AF25" s="182"/>
      <c r="AG25" s="182"/>
    </row>
    <row r="26" spans="1:33" s="13" customFormat="1" ht="20.25" customHeight="1" x14ac:dyDescent="0.2">
      <c r="A26" s="367"/>
      <c r="B26" s="468"/>
      <c r="C26" s="469"/>
      <c r="D26" s="434"/>
      <c r="E26" s="16">
        <v>33</v>
      </c>
      <c r="F26" s="580"/>
      <c r="G26" s="39" t="s">
        <v>62</v>
      </c>
      <c r="H26" s="40"/>
      <c r="I26" s="161"/>
      <c r="J26" s="26" t="s">
        <v>63</v>
      </c>
      <c r="K26" s="41"/>
      <c r="L26" s="42">
        <v>1</v>
      </c>
      <c r="M26" s="215">
        <f>L26*I26</f>
        <v>0</v>
      </c>
      <c r="N26" s="182"/>
      <c r="O26" s="85"/>
      <c r="P26" s="85"/>
      <c r="Q26" s="90"/>
      <c r="R26" s="187"/>
      <c r="S26" s="182"/>
      <c r="T26" s="182"/>
      <c r="U26" s="182"/>
      <c r="V26" s="182"/>
      <c r="W26" s="182"/>
      <c r="X26" s="182"/>
      <c r="Y26" s="122"/>
      <c r="Z26" s="2"/>
      <c r="AA26" s="2"/>
      <c r="AB26" s="2"/>
      <c r="AC26" s="122"/>
      <c r="AD26" s="122"/>
      <c r="AE26" s="122"/>
      <c r="AF26" s="182"/>
      <c r="AG26" s="182"/>
    </row>
    <row r="27" spans="1:33" s="13" customFormat="1" ht="20.25" customHeight="1" x14ac:dyDescent="0.2">
      <c r="A27" s="367"/>
      <c r="B27" s="468"/>
      <c r="C27" s="469"/>
      <c r="D27" s="434"/>
      <c r="E27" s="16">
        <v>34</v>
      </c>
      <c r="F27" s="580"/>
      <c r="G27" s="39" t="s">
        <v>64</v>
      </c>
      <c r="H27" s="40"/>
      <c r="I27" s="161"/>
      <c r="J27" s="26" t="s">
        <v>50</v>
      </c>
      <c r="K27" s="41"/>
      <c r="L27" s="42">
        <v>1</v>
      </c>
      <c r="M27" s="215">
        <f>L27*I27</f>
        <v>0</v>
      </c>
      <c r="N27" s="182"/>
      <c r="O27" s="182"/>
      <c r="P27" s="182"/>
      <c r="Q27" s="182"/>
      <c r="R27" s="193">
        <f>SUM(R5:R26)</f>
        <v>0</v>
      </c>
      <c r="S27" s="182"/>
      <c r="T27" s="182"/>
      <c r="U27" s="182"/>
      <c r="V27" s="182"/>
      <c r="W27" s="182"/>
      <c r="X27" s="182"/>
      <c r="Y27" s="122"/>
      <c r="Z27" s="2"/>
      <c r="AA27" s="2"/>
      <c r="AB27" s="2"/>
      <c r="AC27" s="122"/>
      <c r="AD27" s="122"/>
      <c r="AE27" s="122"/>
      <c r="AF27" s="182"/>
      <c r="AG27" s="182"/>
    </row>
    <row r="28" spans="1:33" ht="20.25" customHeight="1" thickBot="1" x14ac:dyDescent="0.25">
      <c r="A28" s="367"/>
      <c r="B28" s="468"/>
      <c r="C28" s="469"/>
      <c r="D28" s="434"/>
      <c r="E28" s="16">
        <v>35</v>
      </c>
      <c r="F28" s="588"/>
      <c r="G28" s="474" t="s">
        <v>65</v>
      </c>
      <c r="H28" s="497"/>
      <c r="I28" s="161"/>
      <c r="J28" s="43" t="s">
        <v>53</v>
      </c>
      <c r="K28" s="41"/>
      <c r="L28" s="42">
        <v>1</v>
      </c>
      <c r="M28" s="215">
        <f>L28*I28</f>
        <v>0</v>
      </c>
      <c r="O28" s="422"/>
      <c r="P28" s="422"/>
      <c r="Q28" s="488">
        <v>1</v>
      </c>
      <c r="R28" s="489"/>
    </row>
    <row r="29" spans="1:33" ht="21.75" customHeight="1" thickBot="1" x14ac:dyDescent="0.25">
      <c r="A29" s="367"/>
      <c r="B29" s="468"/>
      <c r="C29" s="469"/>
      <c r="D29" s="434"/>
      <c r="E29" s="498" t="s">
        <v>66</v>
      </c>
      <c r="F29" s="499"/>
      <c r="G29" s="499"/>
      <c r="H29" s="31"/>
      <c r="I29" s="32"/>
      <c r="J29" s="33"/>
      <c r="K29" s="34"/>
      <c r="L29" s="35"/>
      <c r="M29" s="36">
        <f>M28+M27+M26+M25</f>
        <v>0</v>
      </c>
      <c r="O29" s="422"/>
      <c r="P29" s="422"/>
      <c r="Q29" s="488"/>
      <c r="R29" s="489"/>
    </row>
    <row r="30" spans="1:33" ht="6.75" customHeight="1" x14ac:dyDescent="0.2">
      <c r="A30" s="367"/>
      <c r="B30" s="468"/>
      <c r="C30" s="469"/>
      <c r="D30" s="434"/>
      <c r="E30" s="581" t="s">
        <v>67</v>
      </c>
      <c r="F30" s="582"/>
      <c r="G30" s="582"/>
      <c r="H30" s="125"/>
      <c r="I30" s="125"/>
      <c r="J30" s="125"/>
      <c r="K30" s="125"/>
      <c r="L30" s="125"/>
      <c r="M30" s="126"/>
      <c r="O30" s="422"/>
      <c r="P30" s="422"/>
      <c r="Q30" s="488"/>
      <c r="R30" s="489"/>
    </row>
    <row r="31" spans="1:33" ht="21" customHeight="1" x14ac:dyDescent="0.2">
      <c r="A31" s="367"/>
      <c r="B31" s="468"/>
      <c r="C31" s="469"/>
      <c r="D31" s="434"/>
      <c r="E31" s="583"/>
      <c r="F31" s="584"/>
      <c r="G31" s="584"/>
      <c r="H31" s="122"/>
      <c r="I31" s="216"/>
      <c r="J31" s="128"/>
      <c r="K31" s="128"/>
      <c r="L31" s="128"/>
      <c r="M31" s="129"/>
      <c r="R31" s="122"/>
    </row>
    <row r="32" spans="1:33" ht="21" customHeight="1" x14ac:dyDescent="0.2">
      <c r="A32" s="367"/>
      <c r="B32" s="468"/>
      <c r="C32" s="469"/>
      <c r="D32" s="434"/>
      <c r="E32" s="127"/>
      <c r="F32" s="128"/>
      <c r="G32" s="585" t="str">
        <f>AC17</f>
        <v/>
      </c>
      <c r="H32" s="585"/>
      <c r="I32" s="585"/>
      <c r="J32" s="589" t="str">
        <f>Q33</f>
        <v/>
      </c>
      <c r="K32" s="589"/>
      <c r="L32" s="589"/>
      <c r="M32" s="129"/>
      <c r="R32" s="122"/>
    </row>
    <row r="33" spans="1:18" ht="21" customHeight="1" x14ac:dyDescent="0.2">
      <c r="A33" s="367"/>
      <c r="B33" s="470"/>
      <c r="C33" s="471"/>
      <c r="D33" s="434"/>
      <c r="E33" s="127"/>
      <c r="F33" s="128"/>
      <c r="G33" s="586"/>
      <c r="H33" s="586"/>
      <c r="I33" s="586"/>
      <c r="J33" s="589"/>
      <c r="K33" s="589"/>
      <c r="L33" s="589"/>
      <c r="M33" s="129"/>
      <c r="Q33" s="270" t="str">
        <f>IF(A2&gt;189.99,"Význačná trofej","")</f>
        <v/>
      </c>
      <c r="R33" s="122"/>
    </row>
    <row r="34" spans="1:18" ht="21" customHeight="1" x14ac:dyDescent="0.2">
      <c r="A34" s="332"/>
      <c r="B34" s="430" t="s">
        <v>68</v>
      </c>
      <c r="C34" s="430" t="s">
        <v>69</v>
      </c>
      <c r="D34" s="431" t="s">
        <v>70</v>
      </c>
      <c r="E34" s="127"/>
      <c r="F34" s="128"/>
      <c r="G34" s="586"/>
      <c r="H34" s="586"/>
      <c r="I34" s="586"/>
      <c r="J34" s="589"/>
      <c r="K34" s="589"/>
      <c r="L34" s="589"/>
      <c r="M34" s="129"/>
      <c r="R34" s="122"/>
    </row>
    <row r="35" spans="1:18" ht="21" customHeight="1" thickBot="1" x14ac:dyDescent="0.25">
      <c r="A35" s="332"/>
      <c r="B35" s="430"/>
      <c r="C35" s="430"/>
      <c r="D35" s="431"/>
      <c r="E35" s="127"/>
      <c r="F35" s="128"/>
      <c r="G35" s="128"/>
      <c r="H35" s="128"/>
      <c r="I35" s="128"/>
      <c r="J35" s="128"/>
      <c r="K35" s="128"/>
      <c r="L35" s="128"/>
      <c r="M35" s="129"/>
      <c r="R35" s="122"/>
    </row>
    <row r="36" spans="1:18" ht="19.5" customHeight="1" thickBot="1" x14ac:dyDescent="0.25">
      <c r="A36" s="332"/>
      <c r="B36" s="430"/>
      <c r="C36" s="430"/>
      <c r="D36" s="431"/>
      <c r="E36" s="217">
        <v>99</v>
      </c>
      <c r="F36" s="590" t="s">
        <v>71</v>
      </c>
      <c r="G36" s="591"/>
      <c r="H36" s="591"/>
      <c r="I36" s="591"/>
      <c r="J36" s="591"/>
      <c r="K36" s="591"/>
      <c r="L36" s="591"/>
      <c r="M36" s="120">
        <f>M24-M29</f>
        <v>0</v>
      </c>
      <c r="R36" s="122"/>
    </row>
    <row r="37" spans="1:18" ht="27.75" customHeight="1" thickBot="1" x14ac:dyDescent="0.25">
      <c r="A37" s="332"/>
      <c r="B37" s="430" t="s">
        <v>72</v>
      </c>
      <c r="C37" s="430"/>
      <c r="D37" s="431" t="s">
        <v>73</v>
      </c>
      <c r="E37" s="592"/>
      <c r="F37" s="593"/>
      <c r="G37" s="593"/>
      <c r="H37" s="340"/>
      <c r="I37" s="341"/>
      <c r="J37" s="594"/>
      <c r="K37" s="595"/>
      <c r="L37" s="596"/>
      <c r="M37" s="597"/>
      <c r="N37" s="195"/>
      <c r="R37" s="122"/>
    </row>
    <row r="38" spans="1:18" ht="12" customHeight="1" thickBot="1" x14ac:dyDescent="0.25">
      <c r="A38" s="333"/>
      <c r="B38" s="524"/>
      <c r="C38" s="524"/>
      <c r="D38" s="528"/>
      <c r="E38" s="598" t="s">
        <v>74</v>
      </c>
      <c r="F38" s="577"/>
      <c r="G38" s="577"/>
      <c r="H38" s="577" t="s">
        <v>75</v>
      </c>
      <c r="I38" s="577"/>
      <c r="J38" s="577" t="s">
        <v>76</v>
      </c>
      <c r="K38" s="577"/>
      <c r="L38" s="577" t="s">
        <v>77</v>
      </c>
      <c r="M38" s="578"/>
      <c r="N38" s="195"/>
      <c r="R38" s="122"/>
    </row>
    <row r="39" spans="1:18" x14ac:dyDescent="0.2">
      <c r="E39" s="46"/>
      <c r="F39" s="46"/>
      <c r="G39" s="46"/>
      <c r="H39" s="46"/>
      <c r="J39" s="46"/>
      <c r="K39" s="51"/>
      <c r="L39" s="46"/>
      <c r="M39" s="51"/>
      <c r="N39" s="195"/>
      <c r="O39" s="195"/>
      <c r="R39" s="122"/>
    </row>
    <row r="40" spans="1:18" x14ac:dyDescent="0.2">
      <c r="E40" s="46"/>
      <c r="F40" s="46"/>
      <c r="G40" s="46"/>
      <c r="H40" s="46"/>
      <c r="J40" s="46"/>
      <c r="K40" s="51"/>
      <c r="L40" s="46"/>
      <c r="M40" s="51"/>
      <c r="N40" s="195"/>
      <c r="O40" s="195"/>
      <c r="P40" s="195"/>
      <c r="Q40" s="195"/>
      <c r="R40" s="196"/>
    </row>
    <row r="41" spans="1:18" x14ac:dyDescent="0.2">
      <c r="E41" s="46"/>
      <c r="F41" s="46"/>
      <c r="G41" s="46"/>
      <c r="H41" s="46"/>
      <c r="J41" s="46"/>
      <c r="K41" s="51"/>
      <c r="L41" s="46"/>
      <c r="M41" s="51"/>
      <c r="N41" s="195"/>
      <c r="O41" s="195"/>
      <c r="P41" s="195"/>
      <c r="Q41" s="195"/>
      <c r="R41" s="196"/>
    </row>
    <row r="42" spans="1:18" x14ac:dyDescent="0.2">
      <c r="E42" s="46"/>
      <c r="F42" s="46"/>
      <c r="G42" s="46"/>
      <c r="H42" s="46"/>
      <c r="J42" s="46"/>
      <c r="K42" s="51"/>
      <c r="L42" s="46"/>
      <c r="M42" s="51"/>
      <c r="N42" s="195"/>
      <c r="O42" s="195"/>
      <c r="P42" s="195"/>
      <c r="Q42" s="195"/>
      <c r="R42" s="196"/>
    </row>
    <row r="43" spans="1:18" x14ac:dyDescent="0.2">
      <c r="E43" s="46"/>
      <c r="F43" s="46"/>
      <c r="G43" s="46"/>
      <c r="H43" s="46"/>
      <c r="J43" s="46"/>
      <c r="K43" s="51"/>
      <c r="L43" s="46"/>
      <c r="M43" s="51"/>
      <c r="N43" s="195"/>
      <c r="O43" s="195"/>
      <c r="P43" s="195"/>
      <c r="Q43" s="195"/>
      <c r="R43" s="196"/>
    </row>
    <row r="44" spans="1:18" x14ac:dyDescent="0.2">
      <c r="E44" s="46"/>
      <c r="F44" s="46"/>
      <c r="G44" s="46"/>
      <c r="H44" s="46"/>
      <c r="J44" s="46"/>
      <c r="K44" s="51"/>
      <c r="L44" s="46"/>
      <c r="M44" s="51"/>
      <c r="N44" s="195"/>
      <c r="O44" s="195"/>
      <c r="P44" s="195"/>
      <c r="Q44" s="195"/>
      <c r="R44" s="196"/>
    </row>
    <row r="45" spans="1:18" x14ac:dyDescent="0.2">
      <c r="E45" s="46"/>
      <c r="F45" s="46"/>
      <c r="G45" s="46"/>
      <c r="H45" s="46"/>
      <c r="J45" s="46"/>
      <c r="K45" s="51"/>
      <c r="L45" s="46"/>
      <c r="M45" s="51"/>
      <c r="N45" s="195"/>
      <c r="O45" s="195"/>
      <c r="P45" s="195"/>
      <c r="Q45" s="195"/>
      <c r="R45" s="196"/>
    </row>
    <row r="46" spans="1:18" x14ac:dyDescent="0.2">
      <c r="E46" s="46"/>
      <c r="F46" s="46"/>
      <c r="G46" s="46"/>
      <c r="H46" s="46"/>
      <c r="J46" s="46"/>
      <c r="K46" s="51"/>
      <c r="L46" s="46"/>
      <c r="M46" s="51"/>
      <c r="N46" s="195"/>
      <c r="O46" s="195"/>
      <c r="P46" s="195"/>
      <c r="Q46" s="195"/>
      <c r="R46" s="196"/>
    </row>
    <row r="47" spans="1:18" x14ac:dyDescent="0.2">
      <c r="E47" s="46"/>
      <c r="F47" s="46"/>
      <c r="G47" s="46"/>
      <c r="H47" s="46"/>
      <c r="J47" s="46"/>
      <c r="K47" s="51"/>
      <c r="L47" s="46"/>
      <c r="M47" s="51"/>
      <c r="N47" s="195"/>
      <c r="O47" s="195"/>
      <c r="P47" s="195"/>
      <c r="Q47" s="195"/>
      <c r="R47" s="196"/>
    </row>
    <row r="48" spans="1:18" x14ac:dyDescent="0.2">
      <c r="E48" s="46"/>
      <c r="F48" s="46"/>
      <c r="G48" s="46"/>
      <c r="H48" s="46"/>
      <c r="J48" s="46"/>
      <c r="K48" s="51"/>
      <c r="L48" s="46"/>
      <c r="M48" s="51"/>
      <c r="N48" s="195"/>
      <c r="O48" s="195"/>
      <c r="P48" s="195"/>
      <c r="Q48" s="195"/>
      <c r="R48" s="196"/>
    </row>
    <row r="49" spans="5:18" x14ac:dyDescent="0.2">
      <c r="E49" s="46"/>
      <c r="F49" s="46"/>
      <c r="G49" s="46"/>
      <c r="H49" s="46"/>
      <c r="J49" s="46"/>
      <c r="K49" s="51"/>
      <c r="L49" s="46"/>
      <c r="M49" s="51"/>
      <c r="N49" s="195"/>
      <c r="O49" s="195"/>
      <c r="P49" s="195"/>
      <c r="Q49" s="195"/>
      <c r="R49" s="196"/>
    </row>
    <row r="50" spans="5:18" x14ac:dyDescent="0.2">
      <c r="E50" s="46"/>
      <c r="F50" s="46"/>
      <c r="G50" s="46"/>
      <c r="H50" s="46"/>
      <c r="J50" s="46"/>
      <c r="K50" s="51"/>
      <c r="L50" s="46"/>
      <c r="M50" s="51"/>
      <c r="N50" s="195"/>
      <c r="O50" s="195"/>
      <c r="P50" s="195"/>
      <c r="Q50" s="195"/>
      <c r="R50" s="196"/>
    </row>
    <row r="51" spans="5:18" x14ac:dyDescent="0.2">
      <c r="E51" s="46"/>
      <c r="F51" s="46"/>
      <c r="G51" s="46"/>
      <c r="H51" s="46"/>
      <c r="J51" s="46"/>
      <c r="K51" s="51"/>
      <c r="L51" s="46"/>
      <c r="M51" s="51"/>
      <c r="N51" s="195"/>
      <c r="O51" s="195"/>
      <c r="P51" s="195"/>
      <c r="Q51" s="195"/>
      <c r="R51" s="196"/>
    </row>
    <row r="52" spans="5:18" x14ac:dyDescent="0.2">
      <c r="E52" s="46"/>
      <c r="F52" s="46"/>
      <c r="G52" s="46"/>
      <c r="H52" s="46"/>
      <c r="J52" s="46"/>
      <c r="K52" s="51"/>
      <c r="L52" s="46"/>
      <c r="M52" s="51"/>
      <c r="N52" s="195"/>
      <c r="O52" s="195"/>
      <c r="P52" s="195"/>
      <c r="Q52" s="195"/>
      <c r="R52" s="196"/>
    </row>
    <row r="53" spans="5:18" ht="25.5" customHeight="1" x14ac:dyDescent="0.2">
      <c r="E53" s="46"/>
      <c r="F53" s="46"/>
      <c r="G53" s="46"/>
      <c r="H53" s="46"/>
      <c r="J53" s="46"/>
      <c r="K53" s="51"/>
      <c r="L53" s="46"/>
      <c r="M53" s="51"/>
      <c r="N53" s="195"/>
      <c r="O53" s="195"/>
      <c r="P53" s="195"/>
      <c r="Q53" s="195"/>
      <c r="R53" s="196"/>
    </row>
    <row r="54" spans="5:18" ht="27" customHeight="1" x14ac:dyDescent="0.2">
      <c r="E54" s="46"/>
      <c r="F54" s="46"/>
      <c r="G54" s="46"/>
      <c r="H54" s="46"/>
      <c r="J54" s="46"/>
      <c r="K54" s="51"/>
      <c r="L54" s="46"/>
      <c r="M54" s="51"/>
      <c r="N54" s="195"/>
      <c r="O54" s="195"/>
      <c r="P54" s="195"/>
      <c r="Q54" s="195"/>
      <c r="R54" s="196"/>
    </row>
  </sheetData>
  <sheetProtection selectLockedCells="1"/>
  <mergeCells count="143">
    <mergeCell ref="Q28:Q30"/>
    <mergeCell ref="R28:R30"/>
    <mergeCell ref="E29:G29"/>
    <mergeCell ref="E30:G31"/>
    <mergeCell ref="G32:I34"/>
    <mergeCell ref="A25:A33"/>
    <mergeCell ref="B25:C33"/>
    <mergeCell ref="D25:D33"/>
    <mergeCell ref="F25:F28"/>
    <mergeCell ref="G28:H28"/>
    <mergeCell ref="J32:L34"/>
    <mergeCell ref="A34:A36"/>
    <mergeCell ref="B34:B36"/>
    <mergeCell ref="C34:C38"/>
    <mergeCell ref="D34:D36"/>
    <mergeCell ref="F36:L36"/>
    <mergeCell ref="A37:A38"/>
    <mergeCell ref="B37:B38"/>
    <mergeCell ref="D37:D38"/>
    <mergeCell ref="E37:G37"/>
    <mergeCell ref="H37:I37"/>
    <mergeCell ref="J37:K37"/>
    <mergeCell ref="L37:M37"/>
    <mergeCell ref="E38:G38"/>
    <mergeCell ref="E24:G24"/>
    <mergeCell ref="L17:L18"/>
    <mergeCell ref="M17:M18"/>
    <mergeCell ref="P28:P30"/>
    <mergeCell ref="O28:O30"/>
    <mergeCell ref="K19:K20"/>
    <mergeCell ref="L19:L20"/>
    <mergeCell ref="M19:M20"/>
    <mergeCell ref="P19:P20"/>
    <mergeCell ref="F18:H18"/>
    <mergeCell ref="K17:K18"/>
    <mergeCell ref="J17:J18"/>
    <mergeCell ref="O17:O18"/>
    <mergeCell ref="P17:P18"/>
    <mergeCell ref="H38:I38"/>
    <mergeCell ref="J38:K38"/>
    <mergeCell ref="L38:M38"/>
    <mergeCell ref="A16:A17"/>
    <mergeCell ref="B16:C17"/>
    <mergeCell ref="E19:E20"/>
    <mergeCell ref="F19:H20"/>
    <mergeCell ref="Q19:Q20"/>
    <mergeCell ref="R19:R20"/>
    <mergeCell ref="F21:F23"/>
    <mergeCell ref="G21:H21"/>
    <mergeCell ref="A22:A23"/>
    <mergeCell ref="B22:B23"/>
    <mergeCell ref="G22:H22"/>
    <mergeCell ref="G23:H23"/>
    <mergeCell ref="J19:J20"/>
    <mergeCell ref="O19:O20"/>
    <mergeCell ref="R17:R18"/>
    <mergeCell ref="P15:P16"/>
    <mergeCell ref="Q15:Q16"/>
    <mergeCell ref="R15:R16"/>
    <mergeCell ref="D16:D17"/>
    <mergeCell ref="F16:H16"/>
    <mergeCell ref="F17:H17"/>
    <mergeCell ref="Q17:Q18"/>
    <mergeCell ref="A8:A10"/>
    <mergeCell ref="B8:C10"/>
    <mergeCell ref="F15:H15"/>
    <mergeCell ref="J15:J16"/>
    <mergeCell ref="A11:A15"/>
    <mergeCell ref="A18:A21"/>
    <mergeCell ref="B18:B21"/>
    <mergeCell ref="C18:C24"/>
    <mergeCell ref="D18:D24"/>
    <mergeCell ref="B11:B15"/>
    <mergeCell ref="C11:C15"/>
    <mergeCell ref="D11:D15"/>
    <mergeCell ref="K15:K16"/>
    <mergeCell ref="L15:L16"/>
    <mergeCell ref="M15:M16"/>
    <mergeCell ref="O15:O16"/>
    <mergeCell ref="J9:J10"/>
    <mergeCell ref="K11:K12"/>
    <mergeCell ref="L11:L12"/>
    <mergeCell ref="K9:K10"/>
    <mergeCell ref="L9:L10"/>
    <mergeCell ref="L7:L8"/>
    <mergeCell ref="M7:M8"/>
    <mergeCell ref="R11:R12"/>
    <mergeCell ref="F12:H12"/>
    <mergeCell ref="R9:R10"/>
    <mergeCell ref="F10:H10"/>
    <mergeCell ref="Q13:Q14"/>
    <mergeCell ref="R13:R14"/>
    <mergeCell ref="F14:H14"/>
    <mergeCell ref="F13:H13"/>
    <mergeCell ref="J13:J14"/>
    <mergeCell ref="K13:K14"/>
    <mergeCell ref="F11:H11"/>
    <mergeCell ref="J11:J12"/>
    <mergeCell ref="M11:M12"/>
    <mergeCell ref="M13:M14"/>
    <mergeCell ref="L13:L14"/>
    <mergeCell ref="O11:O12"/>
    <mergeCell ref="P11:P12"/>
    <mergeCell ref="P13:P14"/>
    <mergeCell ref="O13:O14"/>
    <mergeCell ref="Q11:Q12"/>
    <mergeCell ref="P9:P10"/>
    <mergeCell ref="Q9:Q10"/>
    <mergeCell ref="M9:M10"/>
    <mergeCell ref="O9:O10"/>
    <mergeCell ref="O7:O8"/>
    <mergeCell ref="K7:K8"/>
    <mergeCell ref="F5:H5"/>
    <mergeCell ref="K5:K6"/>
    <mergeCell ref="L5:L6"/>
    <mergeCell ref="M5:M6"/>
    <mergeCell ref="R7:R8"/>
    <mergeCell ref="P5:P6"/>
    <mergeCell ref="Q5:Q6"/>
    <mergeCell ref="R5:R6"/>
    <mergeCell ref="O5:O6"/>
    <mergeCell ref="P7:P8"/>
    <mergeCell ref="Q7:Q8"/>
    <mergeCell ref="A6:A7"/>
    <mergeCell ref="B6:C7"/>
    <mergeCell ref="D6:D7"/>
    <mergeCell ref="F6:H6"/>
    <mergeCell ref="F7:H7"/>
    <mergeCell ref="J7:J8"/>
    <mergeCell ref="J5:J6"/>
    <mergeCell ref="D8:D10"/>
    <mergeCell ref="F8:H8"/>
    <mergeCell ref="F9:H9"/>
    <mergeCell ref="B1:C1"/>
    <mergeCell ref="E1:M1"/>
    <mergeCell ref="A2:A5"/>
    <mergeCell ref="B2:C5"/>
    <mergeCell ref="D2:D5"/>
    <mergeCell ref="E2:M2"/>
    <mergeCell ref="F3:I3"/>
    <mergeCell ref="J3:K3"/>
    <mergeCell ref="F4:I4"/>
    <mergeCell ref="J4:K4"/>
  </mergeCells>
  <printOptions horizontalCentered="1" verticalCentered="1"/>
  <pageMargins left="0" right="0" top="0" bottom="0" header="0.51181102362204722" footer="0.51181102362204722"/>
  <pageSetup scale="9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3"/>
  <sheetViews>
    <sheetView zoomScaleNormal="100" workbookViewId="0">
      <selection activeCell="AN24" sqref="AN24"/>
    </sheetView>
  </sheetViews>
  <sheetFormatPr defaultRowHeight="12.75" x14ac:dyDescent="0.2"/>
  <cols>
    <col min="1" max="1" width="3.42578125" style="47" customWidth="1"/>
    <col min="2" max="3" width="2" style="77" customWidth="1"/>
    <col min="4" max="4" width="2" style="78" customWidth="1"/>
    <col min="5" max="5" width="4.28515625" style="52" customWidth="1"/>
    <col min="6" max="6" width="3.140625" style="3" customWidth="1"/>
    <col min="7" max="7" width="9.28515625" style="3" customWidth="1"/>
    <col min="8" max="8" width="5.140625" style="3" customWidth="1"/>
    <col min="9" max="9" width="6.42578125" style="50" customWidth="1"/>
    <col min="10" max="10" width="13" style="3" customWidth="1"/>
    <col min="11" max="11" width="5.42578125" style="53" customWidth="1"/>
    <col min="12" max="12" width="5.140625" style="3" customWidth="1"/>
    <col min="13" max="13" width="8.28515625" style="234" customWidth="1"/>
    <col min="14" max="14" width="8.140625" style="3" customWidth="1"/>
    <col min="15" max="17" width="8.140625" style="122" hidden="1" customWidth="1"/>
    <col min="18" max="18" width="8.140625" style="197" hidden="1" customWidth="1"/>
    <col min="19" max="32" width="8.140625" style="3" hidden="1" customWidth="1"/>
    <col min="33" max="41" width="8.140625" style="3" customWidth="1"/>
    <col min="42" max="16384" width="9.140625" style="3"/>
  </cols>
  <sheetData>
    <row r="1" spans="1:35" s="1" customFormat="1" ht="18" customHeight="1" x14ac:dyDescent="0.3">
      <c r="A1" s="54" t="str">
        <f>U21</f>
        <v/>
      </c>
      <c r="B1" s="409" t="s">
        <v>0</v>
      </c>
      <c r="C1" s="409"/>
      <c r="D1" s="55" t="s">
        <v>1</v>
      </c>
      <c r="E1" s="410" t="s">
        <v>99</v>
      </c>
      <c r="F1" s="411"/>
      <c r="G1" s="411"/>
      <c r="H1" s="411"/>
      <c r="I1" s="411"/>
      <c r="J1" s="411"/>
      <c r="K1" s="411"/>
      <c r="L1" s="411"/>
      <c r="M1" s="412"/>
      <c r="O1" s="121"/>
      <c r="P1" s="121"/>
      <c r="Q1" s="121"/>
      <c r="R1" s="121"/>
    </row>
    <row r="2" spans="1:35" ht="13.5" customHeight="1" thickBot="1" x14ac:dyDescent="0.25">
      <c r="A2" s="599">
        <f>M31</f>
        <v>0</v>
      </c>
      <c r="B2" s="415" t="s">
        <v>2</v>
      </c>
      <c r="C2" s="417"/>
      <c r="D2" s="419" t="s">
        <v>3</v>
      </c>
      <c r="E2" s="421" t="s">
        <v>100</v>
      </c>
      <c r="F2" s="422"/>
      <c r="G2" s="422"/>
      <c r="H2" s="422"/>
      <c r="I2" s="422"/>
      <c r="J2" s="422"/>
      <c r="K2" s="422"/>
      <c r="L2" s="422"/>
      <c r="M2" s="423"/>
      <c r="R2" s="122"/>
    </row>
    <row r="3" spans="1:35" s="7" customFormat="1" ht="11.25" customHeight="1" x14ac:dyDescent="0.2">
      <c r="A3" s="600"/>
      <c r="B3" s="416"/>
      <c r="C3" s="418"/>
      <c r="D3" s="420"/>
      <c r="E3" s="4" t="s">
        <v>5</v>
      </c>
      <c r="F3" s="424" t="s">
        <v>6</v>
      </c>
      <c r="G3" s="424"/>
      <c r="H3" s="424"/>
      <c r="I3" s="424"/>
      <c r="J3" s="424" t="s">
        <v>7</v>
      </c>
      <c r="K3" s="424"/>
      <c r="L3" s="56" t="s">
        <v>8</v>
      </c>
      <c r="M3" s="57" t="s">
        <v>9</v>
      </c>
      <c r="O3" s="178"/>
      <c r="P3" s="178"/>
      <c r="Q3" s="178"/>
      <c r="R3" s="179"/>
    </row>
    <row r="4" spans="1:35" s="13" customFormat="1" ht="18.75" customHeight="1" thickBot="1" x14ac:dyDescent="0.25">
      <c r="A4" s="601"/>
      <c r="B4" s="416"/>
      <c r="C4" s="418"/>
      <c r="D4" s="420"/>
      <c r="E4" s="58" t="s">
        <v>10</v>
      </c>
      <c r="F4" s="563" t="s">
        <v>11</v>
      </c>
      <c r="G4" s="563"/>
      <c r="H4" s="563"/>
      <c r="I4" s="406"/>
      <c r="J4" s="563" t="s">
        <v>12</v>
      </c>
      <c r="K4" s="563"/>
      <c r="L4" s="59" t="s">
        <v>13</v>
      </c>
      <c r="M4" s="60" t="s">
        <v>14</v>
      </c>
      <c r="O4" s="182"/>
      <c r="P4" s="182"/>
      <c r="Q4" s="61"/>
      <c r="R4" s="183"/>
    </row>
    <row r="5" spans="1:35" s="13" customFormat="1" ht="12" customHeight="1" x14ac:dyDescent="0.2">
      <c r="A5" s="367"/>
      <c r="B5" s="379" t="s">
        <v>17</v>
      </c>
      <c r="C5" s="379"/>
      <c r="D5" s="374" t="s">
        <v>18</v>
      </c>
      <c r="E5" s="564">
        <v>67</v>
      </c>
      <c r="F5" s="565" t="s">
        <v>101</v>
      </c>
      <c r="G5" s="375"/>
      <c r="H5" s="376"/>
      <c r="I5" s="566"/>
      <c r="J5" s="565" t="s">
        <v>16</v>
      </c>
      <c r="K5" s="361">
        <f>O8</f>
        <v>0</v>
      </c>
      <c r="L5" s="573">
        <v>1</v>
      </c>
      <c r="M5" s="447">
        <f>TRUNC(R8,2)</f>
        <v>0</v>
      </c>
      <c r="O5" s="182"/>
      <c r="P5" s="182"/>
      <c r="Q5" s="61"/>
      <c r="R5" s="183"/>
    </row>
    <row r="6" spans="1:35" s="13" customFormat="1" ht="12" customHeight="1" x14ac:dyDescent="0.2">
      <c r="A6" s="367"/>
      <c r="B6" s="379"/>
      <c r="C6" s="379"/>
      <c r="D6" s="374"/>
      <c r="E6" s="398"/>
      <c r="F6" s="565"/>
      <c r="G6" s="375"/>
      <c r="H6" s="376"/>
      <c r="I6" s="401"/>
      <c r="J6" s="565"/>
      <c r="K6" s="361"/>
      <c r="L6" s="573"/>
      <c r="M6" s="448"/>
      <c r="O6" s="182"/>
      <c r="P6" s="182"/>
      <c r="Q6" s="61"/>
      <c r="R6" s="183"/>
    </row>
    <row r="7" spans="1:35" s="13" customFormat="1" ht="12" customHeight="1" x14ac:dyDescent="0.2">
      <c r="A7" s="367"/>
      <c r="B7" s="395" t="s">
        <v>21</v>
      </c>
      <c r="C7" s="395"/>
      <c r="D7" s="374" t="s">
        <v>22</v>
      </c>
      <c r="E7" s="603">
        <v>68</v>
      </c>
      <c r="F7" s="561" t="s">
        <v>102</v>
      </c>
      <c r="G7" s="435"/>
      <c r="H7" s="436"/>
      <c r="I7" s="401"/>
      <c r="J7" s="565"/>
      <c r="K7" s="361"/>
      <c r="L7" s="573"/>
      <c r="M7" s="448"/>
      <c r="O7" s="182"/>
      <c r="P7" s="182"/>
      <c r="Q7" s="61"/>
      <c r="R7" s="183"/>
    </row>
    <row r="8" spans="1:35" s="13" customFormat="1" ht="12" customHeight="1" x14ac:dyDescent="0.2">
      <c r="A8" s="367"/>
      <c r="B8" s="395"/>
      <c r="C8" s="395"/>
      <c r="D8" s="374"/>
      <c r="E8" s="603"/>
      <c r="F8" s="561"/>
      <c r="G8" s="435"/>
      <c r="H8" s="436"/>
      <c r="I8" s="401"/>
      <c r="J8" s="565"/>
      <c r="K8" s="361"/>
      <c r="L8" s="573"/>
      <c r="M8" s="448"/>
      <c r="O8" s="445">
        <f>TRUNC(P8,2)</f>
        <v>0</v>
      </c>
      <c r="P8" s="445">
        <f>(I7+I5)/2</f>
        <v>0</v>
      </c>
      <c r="Q8" s="445"/>
      <c r="R8" s="446">
        <f>O8*L5</f>
        <v>0</v>
      </c>
    </row>
    <row r="9" spans="1:35" s="13" customFormat="1" ht="12" customHeight="1" x14ac:dyDescent="0.2">
      <c r="A9" s="367"/>
      <c r="B9" s="395"/>
      <c r="C9" s="395"/>
      <c r="D9" s="374"/>
      <c r="E9" s="398">
        <v>72</v>
      </c>
      <c r="F9" s="558" t="s">
        <v>103</v>
      </c>
      <c r="G9" s="559"/>
      <c r="H9" s="560"/>
      <c r="I9" s="602"/>
      <c r="J9" s="565" t="s">
        <v>104</v>
      </c>
      <c r="K9" s="361">
        <f>O10</f>
        <v>0</v>
      </c>
      <c r="L9" s="573">
        <v>1</v>
      </c>
      <c r="M9" s="448">
        <f>TRUNC(R10,2)</f>
        <v>0</v>
      </c>
      <c r="O9" s="445"/>
      <c r="P9" s="445"/>
      <c r="Q9" s="445"/>
      <c r="R9" s="446"/>
    </row>
    <row r="10" spans="1:35" s="13" customFormat="1" ht="21" customHeight="1" x14ac:dyDescent="0.2">
      <c r="A10" s="386"/>
      <c r="B10" s="387" t="s">
        <v>26</v>
      </c>
      <c r="C10" s="387" t="s">
        <v>27</v>
      </c>
      <c r="D10" s="390" t="s">
        <v>28</v>
      </c>
      <c r="E10" s="398"/>
      <c r="F10" s="558"/>
      <c r="G10" s="559"/>
      <c r="H10" s="560"/>
      <c r="I10" s="602"/>
      <c r="J10" s="565"/>
      <c r="K10" s="361"/>
      <c r="L10" s="573"/>
      <c r="M10" s="448"/>
      <c r="O10" s="445">
        <f>TRUNC(P10,2)</f>
        <v>0</v>
      </c>
      <c r="P10" s="445">
        <f>(I9+I11)/2</f>
        <v>0</v>
      </c>
      <c r="Q10" s="199"/>
      <c r="R10" s="446">
        <f>O10*L9</f>
        <v>0</v>
      </c>
    </row>
    <row r="11" spans="1:35" s="13" customFormat="1" ht="21" customHeight="1" x14ac:dyDescent="0.2">
      <c r="A11" s="367"/>
      <c r="B11" s="388"/>
      <c r="C11" s="388"/>
      <c r="D11" s="391"/>
      <c r="E11" s="461">
        <v>73</v>
      </c>
      <c r="F11" s="565" t="s">
        <v>105</v>
      </c>
      <c r="G11" s="375"/>
      <c r="H11" s="376"/>
      <c r="I11" s="401"/>
      <c r="J11" s="565"/>
      <c r="K11" s="361"/>
      <c r="L11" s="573"/>
      <c r="M11" s="448"/>
      <c r="O11" s="445"/>
      <c r="P11" s="445"/>
      <c r="Q11" s="199"/>
      <c r="R11" s="446"/>
    </row>
    <row r="12" spans="1:35" s="13" customFormat="1" ht="12" customHeight="1" x14ac:dyDescent="0.2">
      <c r="A12" s="367"/>
      <c r="B12" s="388"/>
      <c r="C12" s="388"/>
      <c r="D12" s="391"/>
      <c r="E12" s="462"/>
      <c r="F12" s="565"/>
      <c r="G12" s="375"/>
      <c r="H12" s="376"/>
      <c r="I12" s="401"/>
      <c r="J12" s="565"/>
      <c r="K12" s="361"/>
      <c r="L12" s="573"/>
      <c r="M12" s="448"/>
      <c r="O12" s="445">
        <f>TRUNC(P12,2)</f>
        <v>0</v>
      </c>
      <c r="P12" s="445">
        <f>(I13+I15)/2</f>
        <v>0</v>
      </c>
      <c r="Q12" s="199"/>
      <c r="R12" s="446">
        <f>O12*L13</f>
        <v>0</v>
      </c>
    </row>
    <row r="13" spans="1:35" s="13" customFormat="1" ht="12" customHeight="1" x14ac:dyDescent="0.2">
      <c r="A13" s="367"/>
      <c r="B13" s="389"/>
      <c r="C13" s="389"/>
      <c r="D13" s="392"/>
      <c r="E13" s="398">
        <v>74</v>
      </c>
      <c r="F13" s="441" t="s">
        <v>107</v>
      </c>
      <c r="G13" s="441"/>
      <c r="H13" s="441"/>
      <c r="I13" s="554"/>
      <c r="J13" s="617" t="s">
        <v>104</v>
      </c>
      <c r="K13" s="443">
        <f>O12</f>
        <v>0</v>
      </c>
      <c r="L13" s="454">
        <v>1</v>
      </c>
      <c r="M13" s="460">
        <f>TRUNC(R12,2)</f>
        <v>0</v>
      </c>
      <c r="O13" s="445"/>
      <c r="P13" s="445"/>
      <c r="Q13" s="199"/>
      <c r="R13" s="446"/>
    </row>
    <row r="14" spans="1:35" s="13" customFormat="1" ht="12" customHeight="1" x14ac:dyDescent="0.2">
      <c r="A14" s="18"/>
      <c r="B14" s="64"/>
      <c r="C14" s="64"/>
      <c r="D14" s="65"/>
      <c r="E14" s="398"/>
      <c r="F14" s="442"/>
      <c r="G14" s="442"/>
      <c r="H14" s="442"/>
      <c r="I14" s="555"/>
      <c r="J14" s="618"/>
      <c r="K14" s="537"/>
      <c r="L14" s="607"/>
      <c r="M14" s="540"/>
      <c r="O14" s="445">
        <f>TRUNC(P14,2)</f>
        <v>0</v>
      </c>
      <c r="P14" s="445">
        <f>(I19+I17)/2</f>
        <v>0</v>
      </c>
      <c r="Q14" s="90"/>
      <c r="R14" s="446">
        <f>O14*L17</f>
        <v>0</v>
      </c>
    </row>
    <row r="15" spans="1:35" s="13" customFormat="1" ht="12" customHeight="1" x14ac:dyDescent="0.2">
      <c r="A15" s="380"/>
      <c r="B15" s="379" t="s">
        <v>37</v>
      </c>
      <c r="C15" s="379"/>
      <c r="D15" s="374" t="s">
        <v>38</v>
      </c>
      <c r="E15" s="398">
        <v>75</v>
      </c>
      <c r="F15" s="441" t="s">
        <v>106</v>
      </c>
      <c r="G15" s="441"/>
      <c r="H15" s="441"/>
      <c r="I15" s="554"/>
      <c r="J15" s="618"/>
      <c r="K15" s="537"/>
      <c r="L15" s="607"/>
      <c r="M15" s="540"/>
      <c r="O15" s="445"/>
      <c r="P15" s="445"/>
      <c r="Q15" s="453"/>
      <c r="R15" s="446"/>
    </row>
    <row r="16" spans="1:35" s="13" customFormat="1" ht="12" customHeight="1" x14ac:dyDescent="0.2">
      <c r="A16" s="381"/>
      <c r="B16" s="379"/>
      <c r="C16" s="379"/>
      <c r="D16" s="374"/>
      <c r="E16" s="398"/>
      <c r="F16" s="442"/>
      <c r="G16" s="442"/>
      <c r="H16" s="442"/>
      <c r="I16" s="555"/>
      <c r="J16" s="619"/>
      <c r="K16" s="444"/>
      <c r="L16" s="455"/>
      <c r="M16" s="562"/>
      <c r="O16" s="202">
        <f>TRUNC(P16,2)</f>
        <v>0</v>
      </c>
      <c r="P16" s="202">
        <f>I21</f>
        <v>0</v>
      </c>
      <c r="Q16" s="453"/>
      <c r="R16" s="202">
        <f>L21*P16</f>
        <v>0</v>
      </c>
      <c r="AH16" s="365" t="s">
        <v>223</v>
      </c>
      <c r="AI16" s="365"/>
    </row>
    <row r="17" spans="1:35" s="13" customFormat="1" ht="12" customHeight="1" x14ac:dyDescent="0.2">
      <c r="A17" s="381"/>
      <c r="B17" s="379" t="s">
        <v>42</v>
      </c>
      <c r="C17" s="379" t="s">
        <v>43</v>
      </c>
      <c r="D17" s="374" t="s">
        <v>44</v>
      </c>
      <c r="E17" s="398">
        <v>76</v>
      </c>
      <c r="F17" s="441" t="s">
        <v>108</v>
      </c>
      <c r="G17" s="441"/>
      <c r="H17" s="441"/>
      <c r="I17" s="554"/>
      <c r="J17" s="605" t="s">
        <v>104</v>
      </c>
      <c r="K17" s="443">
        <f>O14</f>
        <v>0</v>
      </c>
      <c r="L17" s="454">
        <v>1</v>
      </c>
      <c r="M17" s="460">
        <f>TRUNC(R14,2)</f>
        <v>0</v>
      </c>
      <c r="O17" s="445"/>
      <c r="P17" s="446"/>
      <c r="Q17" s="453"/>
      <c r="R17" s="446"/>
      <c r="AH17" s="133" t="s">
        <v>219</v>
      </c>
      <c r="AI17" s="133" t="s">
        <v>224</v>
      </c>
    </row>
    <row r="18" spans="1:35" s="13" customFormat="1" ht="12" customHeight="1" x14ac:dyDescent="0.2">
      <c r="A18" s="381"/>
      <c r="B18" s="379"/>
      <c r="C18" s="379"/>
      <c r="D18" s="374"/>
      <c r="E18" s="398"/>
      <c r="F18" s="442"/>
      <c r="G18" s="442"/>
      <c r="H18" s="442"/>
      <c r="I18" s="555"/>
      <c r="J18" s="616"/>
      <c r="K18" s="537"/>
      <c r="L18" s="607"/>
      <c r="M18" s="540"/>
      <c r="O18" s="445"/>
      <c r="P18" s="446"/>
      <c r="Q18" s="453"/>
      <c r="R18" s="446"/>
      <c r="T18" s="199"/>
      <c r="U18" s="199"/>
      <c r="V18" s="199"/>
      <c r="W18" s="182"/>
      <c r="X18" s="182"/>
      <c r="AH18" s="134">
        <f>I5/3</f>
        <v>0</v>
      </c>
      <c r="AI18" s="134">
        <f>I7/3</f>
        <v>0</v>
      </c>
    </row>
    <row r="19" spans="1:35" s="13" customFormat="1" ht="12" customHeight="1" x14ac:dyDescent="0.2">
      <c r="A19" s="382"/>
      <c r="B19" s="379"/>
      <c r="C19" s="379"/>
      <c r="D19" s="374"/>
      <c r="E19" s="398">
        <v>77</v>
      </c>
      <c r="F19" s="441" t="s">
        <v>109</v>
      </c>
      <c r="G19" s="441"/>
      <c r="H19" s="441"/>
      <c r="I19" s="554"/>
      <c r="J19" s="616"/>
      <c r="K19" s="537"/>
      <c r="L19" s="607"/>
      <c r="M19" s="540"/>
      <c r="O19" s="445"/>
      <c r="P19" s="446"/>
      <c r="Q19" s="453"/>
      <c r="R19" s="446"/>
      <c r="T19" s="199" t="str">
        <f>IF(A2&gt;184.99,T25,"")</f>
        <v/>
      </c>
      <c r="U19" s="199" t="str">
        <f>IF(A2&gt;194.99,U25,"")</f>
        <v/>
      </c>
      <c r="V19" s="199" t="str">
        <f>IF(A2&gt;204.99,V25,"")</f>
        <v/>
      </c>
      <c r="W19" s="182"/>
      <c r="X19" s="182"/>
      <c r="AH19" s="134">
        <f>AH18*2</f>
        <v>0</v>
      </c>
      <c r="AI19" s="134">
        <f>AI18*2</f>
        <v>0</v>
      </c>
    </row>
    <row r="20" spans="1:35" s="13" customFormat="1" ht="12" customHeight="1" x14ac:dyDescent="0.2">
      <c r="A20" s="604" t="s">
        <v>143</v>
      </c>
      <c r="B20" s="379" t="s">
        <v>51</v>
      </c>
      <c r="C20" s="379"/>
      <c r="D20" s="374"/>
      <c r="E20" s="398"/>
      <c r="F20" s="442"/>
      <c r="G20" s="442"/>
      <c r="H20" s="442"/>
      <c r="I20" s="555"/>
      <c r="J20" s="606"/>
      <c r="K20" s="444"/>
      <c r="L20" s="455"/>
      <c r="M20" s="562"/>
      <c r="O20" s="199"/>
      <c r="P20" s="200"/>
      <c r="Q20" s="90"/>
      <c r="R20" s="200"/>
      <c r="T20" s="199"/>
      <c r="U20" s="200">
        <f>MIN(T19,U19,V19)</f>
        <v>0</v>
      </c>
      <c r="V20" s="199"/>
      <c r="W20" s="182"/>
      <c r="X20" s="182"/>
      <c r="Y20" s="182"/>
      <c r="Z20" s="182"/>
      <c r="AA20" s="182"/>
      <c r="AB20" s="182"/>
    </row>
    <row r="21" spans="1:35" s="13" customFormat="1" ht="12" customHeight="1" x14ac:dyDescent="0.2">
      <c r="A21" s="604"/>
      <c r="B21" s="379"/>
      <c r="C21" s="379"/>
      <c r="D21" s="374"/>
      <c r="E21" s="398">
        <v>79</v>
      </c>
      <c r="F21" s="475" t="s">
        <v>110</v>
      </c>
      <c r="G21" s="475"/>
      <c r="H21" s="475"/>
      <c r="I21" s="554"/>
      <c r="J21" s="605"/>
      <c r="K21" s="443"/>
      <c r="L21" s="454">
        <v>1</v>
      </c>
      <c r="M21" s="460">
        <f>TRUNC(R16,2)</f>
        <v>0</v>
      </c>
      <c r="O21" s="445"/>
      <c r="P21" s="446"/>
      <c r="Q21" s="453"/>
      <c r="R21" s="446"/>
      <c r="T21" s="201"/>
      <c r="U21" s="201" t="str">
        <f>ROMAN(U20)</f>
        <v/>
      </c>
      <c r="V21" s="201"/>
      <c r="W21" s="85"/>
      <c r="X21" s="182"/>
      <c r="Y21" s="182"/>
      <c r="Z21" s="182"/>
      <c r="AA21" s="182"/>
      <c r="AB21" s="182"/>
    </row>
    <row r="22" spans="1:35" s="13" customFormat="1" ht="12" customHeight="1" x14ac:dyDescent="0.2">
      <c r="A22" s="116" t="s">
        <v>144</v>
      </c>
      <c r="B22" s="67" t="s">
        <v>56</v>
      </c>
      <c r="C22" s="379"/>
      <c r="D22" s="374"/>
      <c r="E22" s="398"/>
      <c r="F22" s="477"/>
      <c r="G22" s="477"/>
      <c r="H22" s="477"/>
      <c r="I22" s="555"/>
      <c r="J22" s="606"/>
      <c r="K22" s="537"/>
      <c r="L22" s="455"/>
      <c r="M22" s="562"/>
      <c r="O22" s="445"/>
      <c r="P22" s="445"/>
      <c r="Q22" s="453"/>
      <c r="R22" s="446"/>
      <c r="T22" s="199"/>
      <c r="U22" s="199"/>
      <c r="V22" s="199"/>
      <c r="W22" s="182"/>
      <c r="X22" s="182"/>
      <c r="Y22" s="182"/>
      <c r="Z22" s="182"/>
      <c r="AA22" s="182"/>
      <c r="AB22" s="182"/>
    </row>
    <row r="23" spans="1:35" s="13" customFormat="1" ht="24" customHeight="1" x14ac:dyDescent="0.2">
      <c r="A23" s="367"/>
      <c r="B23" s="368" t="s">
        <v>58</v>
      </c>
      <c r="C23" s="369"/>
      <c r="D23" s="374" t="s">
        <v>59</v>
      </c>
      <c r="E23" s="16">
        <v>80</v>
      </c>
      <c r="F23" s="608" t="s">
        <v>48</v>
      </c>
      <c r="G23" s="436" t="s">
        <v>49</v>
      </c>
      <c r="H23" s="574"/>
      <c r="I23" s="157"/>
      <c r="J23" s="26" t="s">
        <v>111</v>
      </c>
      <c r="K23" s="83"/>
      <c r="L23" s="163">
        <v>1</v>
      </c>
      <c r="M23" s="19">
        <f>L23*I23</f>
        <v>0</v>
      </c>
      <c r="O23" s="85"/>
      <c r="P23" s="85"/>
      <c r="Q23" s="90"/>
      <c r="R23" s="205"/>
      <c r="T23" s="199"/>
      <c r="U23" s="199"/>
      <c r="V23" s="199"/>
      <c r="W23" s="182"/>
      <c r="X23" s="182"/>
      <c r="Y23" s="182"/>
      <c r="Z23" s="182"/>
      <c r="AA23" s="182"/>
      <c r="AB23" s="182"/>
    </row>
    <row r="24" spans="1:35" s="13" customFormat="1" ht="24" customHeight="1" x14ac:dyDescent="0.2">
      <c r="A24" s="367"/>
      <c r="B24" s="370"/>
      <c r="C24" s="371"/>
      <c r="D24" s="374"/>
      <c r="E24" s="16">
        <v>81</v>
      </c>
      <c r="F24" s="609"/>
      <c r="G24" s="436" t="s">
        <v>112</v>
      </c>
      <c r="H24" s="574"/>
      <c r="I24" s="157"/>
      <c r="J24" s="26" t="s">
        <v>111</v>
      </c>
      <c r="K24" s="83"/>
      <c r="L24" s="163">
        <v>1</v>
      </c>
      <c r="M24" s="19">
        <f>L24*I24</f>
        <v>0</v>
      </c>
      <c r="O24" s="85"/>
      <c r="P24" s="85"/>
      <c r="Q24" s="90"/>
      <c r="R24" s="205"/>
      <c r="T24" s="199"/>
      <c r="U24" s="199"/>
      <c r="V24" s="199"/>
      <c r="W24" s="182"/>
      <c r="X24" s="182"/>
      <c r="Y24" s="182"/>
      <c r="Z24" s="182"/>
      <c r="AA24" s="182"/>
      <c r="AB24" s="182"/>
    </row>
    <row r="25" spans="1:35" s="13" customFormat="1" ht="24" customHeight="1" thickBot="1" x14ac:dyDescent="0.25">
      <c r="A25" s="367"/>
      <c r="B25" s="370"/>
      <c r="C25" s="371"/>
      <c r="D25" s="374"/>
      <c r="E25" s="86">
        <v>82</v>
      </c>
      <c r="F25" s="610"/>
      <c r="G25" s="229" t="s">
        <v>113</v>
      </c>
      <c r="H25" s="230"/>
      <c r="I25" s="92">
        <f>AE25</f>
        <v>0</v>
      </c>
      <c r="J25" s="87" t="s">
        <v>96</v>
      </c>
      <c r="K25" s="231"/>
      <c r="L25" s="93">
        <v>1</v>
      </c>
      <c r="M25" s="117">
        <f>L25*I25</f>
        <v>0</v>
      </c>
      <c r="O25" s="85"/>
      <c r="P25" s="85"/>
      <c r="Q25" s="90"/>
      <c r="R25" s="205"/>
      <c r="T25" s="199">
        <v>3</v>
      </c>
      <c r="U25" s="199">
        <v>2</v>
      </c>
      <c r="V25" s="199">
        <v>1</v>
      </c>
      <c r="W25" s="182"/>
      <c r="X25" s="204">
        <f>H25</f>
        <v>0</v>
      </c>
      <c r="Y25" s="199" t="str">
        <f>(IF(X25&gt;25.9,Y27,""))</f>
        <v/>
      </c>
      <c r="Z25" s="199" t="str">
        <f>IF($X$25&gt;26.9,Z27,"")</f>
        <v/>
      </c>
      <c r="AA25" s="199" t="str">
        <f>IF($X$25&gt;27.9,AA27,"")</f>
        <v/>
      </c>
      <c r="AB25" s="199" t="str">
        <f>IF($X$25&gt;28.9,AB27,"")</f>
        <v/>
      </c>
      <c r="AC25" s="133" t="str">
        <f>IF($X$25&gt;29.9,AC27,"")</f>
        <v/>
      </c>
      <c r="AD25" s="133" t="str">
        <f>IF($X$25&gt;30,AD27,"")</f>
        <v/>
      </c>
      <c r="AE25" s="13">
        <f>MAX(Y25:AD25)</f>
        <v>0</v>
      </c>
    </row>
    <row r="26" spans="1:35" ht="12.75" customHeight="1" thickBot="1" x14ac:dyDescent="0.25">
      <c r="A26" s="367"/>
      <c r="B26" s="370"/>
      <c r="C26" s="371"/>
      <c r="D26" s="374"/>
      <c r="E26" s="547" t="s">
        <v>57</v>
      </c>
      <c r="F26" s="499"/>
      <c r="G26" s="499"/>
      <c r="H26" s="31"/>
      <c r="I26" s="32"/>
      <c r="J26" s="33"/>
      <c r="K26" s="34"/>
      <c r="L26" s="94"/>
      <c r="M26" s="232">
        <f>SUM(M5:M25)</f>
        <v>0</v>
      </c>
      <c r="O26" s="85"/>
      <c r="P26" s="85"/>
      <c r="Q26" s="90"/>
      <c r="R26" s="205"/>
      <c r="T26" s="199"/>
      <c r="U26" s="199"/>
      <c r="V26" s="199"/>
      <c r="W26" s="182"/>
      <c r="X26" s="182"/>
      <c r="Y26" s="199"/>
      <c r="Z26" s="200" t="str">
        <f>(IF(Y25=3,T28,""))</f>
        <v/>
      </c>
      <c r="AA26" s="199"/>
      <c r="AB26" s="182"/>
      <c r="AC26" s="13"/>
      <c r="AD26" s="133"/>
      <c r="AE26" s="13"/>
    </row>
    <row r="27" spans="1:35" ht="12.75" customHeight="1" thickBot="1" x14ac:dyDescent="0.25">
      <c r="A27" s="367"/>
      <c r="B27" s="370"/>
      <c r="C27" s="371"/>
      <c r="D27" s="374"/>
      <c r="E27" s="86">
        <v>85</v>
      </c>
      <c r="F27" s="552" t="s">
        <v>114</v>
      </c>
      <c r="G27" s="552"/>
      <c r="H27" s="553"/>
      <c r="I27" s="22"/>
      <c r="J27" s="87" t="s">
        <v>55</v>
      </c>
      <c r="K27" s="88"/>
      <c r="L27" s="89">
        <v>1</v>
      </c>
      <c r="M27" s="63">
        <f>L27*I27</f>
        <v>0</v>
      </c>
      <c r="O27" s="85"/>
      <c r="P27" s="85"/>
      <c r="Q27" s="90"/>
      <c r="R27" s="205"/>
      <c r="T27" s="199"/>
      <c r="U27" s="199"/>
      <c r="V27" s="199"/>
      <c r="W27" s="182"/>
      <c r="X27" s="182"/>
      <c r="Y27" s="199">
        <v>1</v>
      </c>
      <c r="Z27" s="199">
        <v>2</v>
      </c>
      <c r="AA27" s="199">
        <v>3</v>
      </c>
      <c r="AB27" s="199">
        <v>4</v>
      </c>
      <c r="AC27" s="199">
        <v>5</v>
      </c>
      <c r="AD27" s="133">
        <v>5</v>
      </c>
      <c r="AE27" s="13"/>
    </row>
    <row r="28" spans="1:35" ht="12.75" customHeight="1" x14ac:dyDescent="0.2">
      <c r="A28" s="367"/>
      <c r="B28" s="372"/>
      <c r="C28" s="373"/>
      <c r="D28" s="374"/>
      <c r="E28" s="96" t="s">
        <v>67</v>
      </c>
      <c r="F28" s="219"/>
      <c r="G28" s="219"/>
      <c r="H28" s="611" t="str">
        <f>W31</f>
        <v/>
      </c>
      <c r="I28" s="611"/>
      <c r="J28" s="611"/>
      <c r="K28" s="219" t="s">
        <v>215</v>
      </c>
      <c r="L28" s="219"/>
      <c r="M28" s="233"/>
      <c r="O28" s="85" t="e">
        <f>I21/M28</f>
        <v>#DIV/0!</v>
      </c>
      <c r="P28" s="85" t="e">
        <f>TRUNC(O28,2)</f>
        <v>#DIV/0!</v>
      </c>
      <c r="Q28" s="90"/>
      <c r="R28" s="205"/>
      <c r="T28" s="203" t="s">
        <v>146</v>
      </c>
      <c r="U28" s="199"/>
      <c r="V28" s="199"/>
      <c r="W28" s="182" t="str">
        <f>(IF(U20=3,T28,""))</f>
        <v/>
      </c>
      <c r="X28" s="182"/>
      <c r="Y28" s="182"/>
      <c r="Z28" s="182"/>
      <c r="AA28" s="182"/>
      <c r="AB28" s="182"/>
      <c r="AC28" s="13"/>
      <c r="AD28" s="13"/>
      <c r="AE28" s="13"/>
    </row>
    <row r="29" spans="1:35" ht="12.75" customHeight="1" x14ac:dyDescent="0.2">
      <c r="A29" s="523"/>
      <c r="B29" s="334" t="s">
        <v>68</v>
      </c>
      <c r="C29" s="334" t="s">
        <v>69</v>
      </c>
      <c r="D29" s="336" t="s">
        <v>70</v>
      </c>
      <c r="E29" s="221"/>
      <c r="F29" s="244"/>
      <c r="G29" s="244"/>
      <c r="H29" s="612"/>
      <c r="I29" s="612"/>
      <c r="J29" s="612"/>
      <c r="K29" s="244" t="s">
        <v>216</v>
      </c>
      <c r="L29" s="244"/>
      <c r="M29" s="245">
        <f>P29</f>
        <v>0</v>
      </c>
      <c r="O29" s="182" t="e">
        <f>(IF(P28,"",""))</f>
        <v>#DIV/0!</v>
      </c>
      <c r="P29" s="266">
        <f>IFERROR(P28,0)</f>
        <v>0</v>
      </c>
      <c r="Q29" s="182"/>
      <c r="R29" s="193"/>
      <c r="T29" s="203" t="s">
        <v>147</v>
      </c>
      <c r="U29" s="199"/>
      <c r="V29" s="199"/>
      <c r="W29" s="182" t="str">
        <f>(IF(U20=2,T29,""))</f>
        <v/>
      </c>
      <c r="X29" s="182"/>
      <c r="Y29" s="182"/>
      <c r="Z29" s="182"/>
      <c r="AA29" s="182"/>
      <c r="AB29" s="182"/>
      <c r="AC29" s="13"/>
      <c r="AD29" s="13"/>
      <c r="AE29" s="13"/>
    </row>
    <row r="30" spans="1:35" ht="12.75" customHeight="1" thickBot="1" x14ac:dyDescent="0.25">
      <c r="A30" s="523"/>
      <c r="B30" s="334"/>
      <c r="C30" s="334"/>
      <c r="D30" s="336"/>
      <c r="E30" s="226"/>
      <c r="F30" s="227"/>
      <c r="G30" s="227"/>
      <c r="H30" s="613"/>
      <c r="I30" s="613"/>
      <c r="J30" s="613"/>
      <c r="K30" s="227"/>
      <c r="L30" s="227"/>
      <c r="M30" s="246"/>
      <c r="R30" s="122"/>
      <c r="T30" s="203" t="s">
        <v>190</v>
      </c>
      <c r="U30" s="199"/>
      <c r="V30" s="199"/>
      <c r="W30" s="182" t="str">
        <f>(IF(U20=1,T30,""))</f>
        <v/>
      </c>
      <c r="X30" s="182"/>
      <c r="Y30" s="182"/>
      <c r="Z30" s="182"/>
      <c r="AA30" s="182"/>
      <c r="AB30" s="182"/>
      <c r="AC30" s="13"/>
      <c r="AD30" s="13"/>
      <c r="AE30" s="13"/>
    </row>
    <row r="31" spans="1:35" ht="12.75" customHeight="1" thickBot="1" x14ac:dyDescent="0.25">
      <c r="A31" s="523"/>
      <c r="B31" s="334"/>
      <c r="C31" s="334"/>
      <c r="D31" s="336"/>
      <c r="E31" s="44">
        <v>99</v>
      </c>
      <c r="F31" s="590" t="s">
        <v>71</v>
      </c>
      <c r="G31" s="591"/>
      <c r="H31" s="591"/>
      <c r="I31" s="591"/>
      <c r="J31" s="356" t="str">
        <f>P31</f>
        <v/>
      </c>
      <c r="K31" s="356"/>
      <c r="L31" s="357"/>
      <c r="M31" s="45">
        <f>M26-M27</f>
        <v>0</v>
      </c>
      <c r="P31" s="270" t="str">
        <f>IF(A2&gt;224.99,"Význačná trofej","")</f>
        <v/>
      </c>
      <c r="R31" s="122"/>
      <c r="T31" s="199"/>
      <c r="U31" s="199"/>
      <c r="V31" s="199"/>
      <c r="W31" s="182" t="str">
        <f>CONCATENATE(W30,W29,W28)</f>
        <v/>
      </c>
      <c r="X31" s="182"/>
      <c r="Y31" s="182"/>
      <c r="Z31" s="182"/>
      <c r="AA31" s="182"/>
      <c r="AB31" s="182"/>
      <c r="AC31" s="13"/>
      <c r="AD31" s="13"/>
      <c r="AE31" s="13"/>
    </row>
    <row r="32" spans="1:35" ht="28.5" customHeight="1" x14ac:dyDescent="0.2">
      <c r="A32" s="523"/>
      <c r="B32" s="334" t="s">
        <v>72</v>
      </c>
      <c r="C32" s="334"/>
      <c r="D32" s="336" t="s">
        <v>73</v>
      </c>
      <c r="E32" s="338"/>
      <c r="F32" s="339"/>
      <c r="G32" s="339"/>
      <c r="H32" s="340"/>
      <c r="I32" s="341"/>
      <c r="J32" s="533"/>
      <c r="K32" s="534"/>
      <c r="L32" s="614"/>
      <c r="M32" s="615"/>
      <c r="N32" s="46"/>
      <c r="R32" s="122"/>
      <c r="X32" s="182"/>
      <c r="Y32" s="182"/>
      <c r="Z32" s="182"/>
      <c r="AA32" s="182"/>
      <c r="AB32" s="182"/>
      <c r="AC32" s="13"/>
      <c r="AD32" s="13"/>
      <c r="AE32" s="13"/>
    </row>
    <row r="33" spans="1:18" ht="10.5" customHeight="1" thickBot="1" x14ac:dyDescent="0.25">
      <c r="A33" s="527"/>
      <c r="B33" s="335"/>
      <c r="C33" s="335"/>
      <c r="D33" s="337"/>
      <c r="E33" s="521" t="s">
        <v>74</v>
      </c>
      <c r="F33" s="330"/>
      <c r="G33" s="330"/>
      <c r="H33" s="330" t="s">
        <v>75</v>
      </c>
      <c r="I33" s="330"/>
      <c r="J33" s="330" t="s">
        <v>76</v>
      </c>
      <c r="K33" s="330"/>
      <c r="L33" s="330" t="s">
        <v>77</v>
      </c>
      <c r="M33" s="331"/>
      <c r="N33" s="46"/>
      <c r="R33" s="122"/>
    </row>
    <row r="34" spans="1:18" x14ac:dyDescent="0.2">
      <c r="E34" s="46"/>
      <c r="F34" s="46"/>
      <c r="G34" s="46"/>
      <c r="H34" s="46"/>
      <c r="J34" s="46"/>
      <c r="K34" s="51"/>
      <c r="L34" s="46"/>
      <c r="N34" s="46"/>
      <c r="R34" s="122"/>
    </row>
    <row r="35" spans="1:18" ht="15.75" x14ac:dyDescent="0.2">
      <c r="E35" s="46"/>
      <c r="F35" s="46"/>
      <c r="G35" s="46"/>
      <c r="H35" s="46"/>
      <c r="J35" s="46"/>
      <c r="K35" s="51"/>
      <c r="L35" s="46"/>
      <c r="N35" s="46"/>
      <c r="R35" s="194"/>
    </row>
    <row r="36" spans="1:18" x14ac:dyDescent="0.2">
      <c r="E36" s="46"/>
      <c r="F36" s="46"/>
      <c r="G36" s="46"/>
      <c r="H36" s="46"/>
      <c r="J36" s="46"/>
      <c r="K36" s="51"/>
      <c r="L36" s="46"/>
      <c r="N36" s="46"/>
      <c r="Q36" s="422"/>
      <c r="R36" s="422"/>
    </row>
    <row r="37" spans="1:18" x14ac:dyDescent="0.2">
      <c r="E37" s="46"/>
      <c r="F37" s="46"/>
      <c r="G37" s="46"/>
      <c r="H37" s="46"/>
      <c r="J37" s="46"/>
      <c r="K37" s="51"/>
      <c r="L37" s="46"/>
      <c r="N37" s="46"/>
      <c r="Q37" s="522"/>
      <c r="R37" s="522"/>
    </row>
    <row r="38" spans="1:18" x14ac:dyDescent="0.2">
      <c r="E38" s="46"/>
      <c r="F38" s="46"/>
      <c r="G38" s="46"/>
      <c r="H38" s="46"/>
      <c r="J38" s="46"/>
      <c r="K38" s="51"/>
      <c r="L38" s="46"/>
      <c r="N38" s="46"/>
      <c r="O38" s="195"/>
      <c r="P38" s="195"/>
      <c r="Q38" s="195"/>
      <c r="R38" s="196"/>
    </row>
    <row r="39" spans="1:18" x14ac:dyDescent="0.2">
      <c r="E39" s="46"/>
      <c r="F39" s="46"/>
      <c r="G39" s="46"/>
      <c r="H39" s="46"/>
      <c r="J39" s="46"/>
      <c r="K39" s="51"/>
      <c r="L39" s="46"/>
      <c r="N39" s="46"/>
      <c r="O39" s="195"/>
      <c r="P39" s="195"/>
      <c r="Q39" s="195"/>
      <c r="R39" s="196"/>
    </row>
    <row r="40" spans="1:18" x14ac:dyDescent="0.2">
      <c r="E40" s="46"/>
      <c r="F40" s="46"/>
      <c r="G40" s="46"/>
      <c r="H40" s="46"/>
      <c r="J40" s="46"/>
      <c r="K40" s="51"/>
      <c r="L40" s="46"/>
      <c r="N40" s="46"/>
      <c r="O40" s="195"/>
      <c r="P40" s="195"/>
      <c r="Q40" s="195"/>
      <c r="R40" s="196"/>
    </row>
    <row r="41" spans="1:18" x14ac:dyDescent="0.2">
      <c r="E41" s="46"/>
      <c r="F41" s="46"/>
      <c r="G41" s="46"/>
      <c r="H41" s="46"/>
      <c r="J41" s="46"/>
      <c r="K41" s="51"/>
      <c r="L41" s="46"/>
      <c r="N41" s="46"/>
      <c r="O41" s="195"/>
      <c r="P41" s="195"/>
      <c r="Q41" s="195"/>
      <c r="R41" s="196"/>
    </row>
    <row r="42" spans="1:18" x14ac:dyDescent="0.2">
      <c r="E42" s="46"/>
      <c r="F42" s="46"/>
      <c r="G42" s="46"/>
      <c r="H42" s="46"/>
      <c r="J42" s="46"/>
      <c r="K42" s="51"/>
      <c r="L42" s="46"/>
      <c r="N42" s="46"/>
      <c r="O42" s="195"/>
      <c r="P42" s="195"/>
      <c r="Q42" s="195"/>
      <c r="R42" s="196"/>
    </row>
    <row r="43" spans="1:18" x14ac:dyDescent="0.2">
      <c r="E43" s="46"/>
      <c r="F43" s="46"/>
      <c r="G43" s="46"/>
      <c r="H43" s="46"/>
      <c r="J43" s="46"/>
      <c r="K43" s="51"/>
      <c r="L43" s="46"/>
      <c r="N43" s="46"/>
      <c r="O43" s="195"/>
      <c r="P43" s="195"/>
      <c r="Q43" s="195"/>
      <c r="R43" s="196"/>
    </row>
    <row r="44" spans="1:18" x14ac:dyDescent="0.2">
      <c r="E44" s="46"/>
      <c r="F44" s="46"/>
      <c r="G44" s="46"/>
      <c r="H44" s="46"/>
      <c r="J44" s="46"/>
      <c r="K44" s="51"/>
      <c r="L44" s="46"/>
      <c r="N44" s="46"/>
      <c r="O44" s="195"/>
      <c r="P44" s="195"/>
      <c r="Q44" s="195"/>
      <c r="R44" s="196"/>
    </row>
    <row r="45" spans="1:18" x14ac:dyDescent="0.2">
      <c r="E45" s="46"/>
      <c r="F45" s="46"/>
      <c r="G45" s="46"/>
      <c r="H45" s="46"/>
      <c r="J45" s="46"/>
      <c r="K45" s="51"/>
      <c r="L45" s="46"/>
      <c r="N45" s="46"/>
      <c r="O45" s="195"/>
      <c r="P45" s="195"/>
      <c r="Q45" s="195"/>
      <c r="R45" s="196"/>
    </row>
    <row r="46" spans="1:18" x14ac:dyDescent="0.2">
      <c r="E46" s="46"/>
      <c r="F46" s="46"/>
      <c r="G46" s="46"/>
      <c r="H46" s="46"/>
      <c r="J46" s="46"/>
      <c r="K46" s="51"/>
      <c r="L46" s="46"/>
      <c r="N46" s="46"/>
      <c r="O46" s="195"/>
      <c r="P46" s="195"/>
      <c r="Q46" s="195"/>
      <c r="R46" s="196"/>
    </row>
    <row r="47" spans="1:18" x14ac:dyDescent="0.2">
      <c r="E47" s="46"/>
      <c r="F47" s="46"/>
      <c r="G47" s="46"/>
      <c r="H47" s="46"/>
      <c r="J47" s="46"/>
      <c r="K47" s="51"/>
      <c r="L47" s="46"/>
      <c r="N47" s="46"/>
      <c r="O47" s="195"/>
      <c r="P47" s="195"/>
      <c r="Q47" s="195"/>
      <c r="R47" s="196"/>
    </row>
    <row r="48" spans="1:18" ht="25.5" customHeight="1" x14ac:dyDescent="0.2">
      <c r="E48" s="46"/>
      <c r="F48" s="46"/>
      <c r="G48" s="46"/>
      <c r="H48" s="46"/>
      <c r="J48" s="46"/>
      <c r="K48" s="51"/>
      <c r="L48" s="46"/>
      <c r="N48" s="46"/>
      <c r="O48" s="195"/>
      <c r="P48" s="195"/>
      <c r="Q48" s="195"/>
      <c r="R48" s="196"/>
    </row>
    <row r="49" spans="5:18" ht="27" customHeight="1" x14ac:dyDescent="0.2">
      <c r="E49" s="46"/>
      <c r="F49" s="46"/>
      <c r="G49" s="46"/>
      <c r="H49" s="46"/>
      <c r="J49" s="46"/>
      <c r="K49" s="51"/>
      <c r="L49" s="46"/>
      <c r="N49" s="46"/>
      <c r="O49" s="195"/>
      <c r="P49" s="195"/>
      <c r="Q49" s="195"/>
      <c r="R49" s="196"/>
    </row>
    <row r="50" spans="5:18" x14ac:dyDescent="0.2">
      <c r="O50" s="195"/>
      <c r="P50" s="195"/>
      <c r="Q50" s="195"/>
      <c r="R50" s="196"/>
    </row>
    <row r="51" spans="5:18" x14ac:dyDescent="0.2">
      <c r="O51" s="195"/>
      <c r="P51" s="195"/>
      <c r="Q51" s="195"/>
      <c r="R51" s="196"/>
    </row>
    <row r="52" spans="5:18" x14ac:dyDescent="0.2">
      <c r="O52" s="195"/>
      <c r="P52" s="195"/>
      <c r="Q52" s="195"/>
      <c r="R52" s="196"/>
    </row>
    <row r="53" spans="5:18" x14ac:dyDescent="0.2">
      <c r="O53" s="195"/>
      <c r="P53" s="195"/>
      <c r="Q53" s="195"/>
      <c r="R53" s="196"/>
    </row>
  </sheetData>
  <sheetProtection selectLockedCells="1"/>
  <mergeCells count="127">
    <mergeCell ref="J31:L31"/>
    <mergeCell ref="F31:I31"/>
    <mergeCell ref="AH16:AI16"/>
    <mergeCell ref="H32:I32"/>
    <mergeCell ref="J32:K32"/>
    <mergeCell ref="L32:M32"/>
    <mergeCell ref="E33:G33"/>
    <mergeCell ref="H33:I33"/>
    <mergeCell ref="J33:K33"/>
    <mergeCell ref="L33:M33"/>
    <mergeCell ref="E32:G32"/>
    <mergeCell ref="M21:M22"/>
    <mergeCell ref="O21:O22"/>
    <mergeCell ref="P21:P22"/>
    <mergeCell ref="Q21:Q22"/>
    <mergeCell ref="O17:O19"/>
    <mergeCell ref="P17:P19"/>
    <mergeCell ref="Q17:Q19"/>
    <mergeCell ref="I17:I18"/>
    <mergeCell ref="J17:J20"/>
    <mergeCell ref="L21:L22"/>
    <mergeCell ref="R17:R19"/>
    <mergeCell ref="J13:J16"/>
    <mergeCell ref="K13:K16"/>
    <mergeCell ref="Q36:R36"/>
    <mergeCell ref="Q37:R37"/>
    <mergeCell ref="R21:R22"/>
    <mergeCell ref="A23:A28"/>
    <mergeCell ref="B23:C28"/>
    <mergeCell ref="D23:D28"/>
    <mergeCell ref="F23:F25"/>
    <mergeCell ref="G23:H23"/>
    <mergeCell ref="G24:H24"/>
    <mergeCell ref="E26:G26"/>
    <mergeCell ref="F27:H27"/>
    <mergeCell ref="K21:K22"/>
    <mergeCell ref="A29:A31"/>
    <mergeCell ref="B29:B31"/>
    <mergeCell ref="C29:C33"/>
    <mergeCell ref="D29:D31"/>
    <mergeCell ref="A32:A33"/>
    <mergeCell ref="B32:B33"/>
    <mergeCell ref="D32:D33"/>
    <mergeCell ref="H28:J30"/>
    <mergeCell ref="C17:C22"/>
    <mergeCell ref="D17:D22"/>
    <mergeCell ref="E17:E18"/>
    <mergeCell ref="F17:H18"/>
    <mergeCell ref="A20:A21"/>
    <mergeCell ref="B20:B21"/>
    <mergeCell ref="E21:E22"/>
    <mergeCell ref="F21:H22"/>
    <mergeCell ref="I21:I22"/>
    <mergeCell ref="J21:J22"/>
    <mergeCell ref="I15:I16"/>
    <mergeCell ref="Q15:Q16"/>
    <mergeCell ref="B17:B19"/>
    <mergeCell ref="E19:E20"/>
    <mergeCell ref="F19:H20"/>
    <mergeCell ref="I19:I20"/>
    <mergeCell ref="K17:K20"/>
    <mergeCell ref="L17:L20"/>
    <mergeCell ref="M17:M20"/>
    <mergeCell ref="L13:L16"/>
    <mergeCell ref="M13:M16"/>
    <mergeCell ref="O14:O15"/>
    <mergeCell ref="P14:P15"/>
    <mergeCell ref="B10:B13"/>
    <mergeCell ref="C10:C13"/>
    <mergeCell ref="D10:D13"/>
    <mergeCell ref="F13:H14"/>
    <mergeCell ref="I13:I14"/>
    <mergeCell ref="R14:R15"/>
    <mergeCell ref="A15:A19"/>
    <mergeCell ref="B15:C16"/>
    <mergeCell ref="D15:D16"/>
    <mergeCell ref="E15:E16"/>
    <mergeCell ref="F15:H16"/>
    <mergeCell ref="O10:O11"/>
    <mergeCell ref="P10:P11"/>
    <mergeCell ref="R10:R11"/>
    <mergeCell ref="E11:E12"/>
    <mergeCell ref="F11:H12"/>
    <mergeCell ref="I11:I12"/>
    <mergeCell ref="O12:O13"/>
    <mergeCell ref="P12:P13"/>
    <mergeCell ref="R12:R13"/>
    <mergeCell ref="E13:E14"/>
    <mergeCell ref="L9:L12"/>
    <mergeCell ref="O8:O9"/>
    <mergeCell ref="P8:P9"/>
    <mergeCell ref="Q8:Q9"/>
    <mergeCell ref="R8:R9"/>
    <mergeCell ref="A10:A13"/>
    <mergeCell ref="L5:L8"/>
    <mergeCell ref="M5:M8"/>
    <mergeCell ref="K5:K8"/>
    <mergeCell ref="E9:E10"/>
    <mergeCell ref="F9:H10"/>
    <mergeCell ref="I9:I10"/>
    <mergeCell ref="J9:J12"/>
    <mergeCell ref="K9:K12"/>
    <mergeCell ref="M9:M12"/>
    <mergeCell ref="A5:A6"/>
    <mergeCell ref="B5:C6"/>
    <mergeCell ref="D5:D6"/>
    <mergeCell ref="E5:E6"/>
    <mergeCell ref="F5:H6"/>
    <mergeCell ref="I5:I6"/>
    <mergeCell ref="J5:J8"/>
    <mergeCell ref="A7:A9"/>
    <mergeCell ref="B7:C9"/>
    <mergeCell ref="D7:D9"/>
    <mergeCell ref="E7:E8"/>
    <mergeCell ref="F7:H8"/>
    <mergeCell ref="I7:I8"/>
    <mergeCell ref="B1:C1"/>
    <mergeCell ref="E1:M1"/>
    <mergeCell ref="A2:A4"/>
    <mergeCell ref="B2:B4"/>
    <mergeCell ref="C2:C4"/>
    <mergeCell ref="D2:D4"/>
    <mergeCell ref="E2:M2"/>
    <mergeCell ref="F3:I3"/>
    <mergeCell ref="J3:K3"/>
    <mergeCell ref="F4:I4"/>
    <mergeCell ref="J4:K4"/>
  </mergeCells>
  <printOptions verticalCentered="1"/>
  <pageMargins left="0.19685039370078741" right="0.19685039370078741" top="0.39370078740157483" bottom="0.39370078740157483" header="0.51181102362204722" footer="0.51181102362204722"/>
  <pageSetup orientation="landscape" verticalDpi="4294967295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1"/>
  <sheetViews>
    <sheetView workbookViewId="0">
      <selection activeCell="U6" sqref="U6"/>
    </sheetView>
  </sheetViews>
  <sheetFormatPr defaultRowHeight="12.75" x14ac:dyDescent="0.2"/>
  <cols>
    <col min="1" max="1" width="3.42578125" style="47" customWidth="1"/>
    <col min="2" max="3" width="2" style="77" customWidth="1"/>
    <col min="4" max="4" width="2" style="78" customWidth="1"/>
    <col min="5" max="5" width="4.28515625" style="52" customWidth="1"/>
    <col min="6" max="6" width="5.85546875" style="3" customWidth="1"/>
    <col min="7" max="7" width="9.28515625" style="3" customWidth="1"/>
    <col min="8" max="8" width="2.5703125" style="3" customWidth="1"/>
    <col min="9" max="9" width="6.42578125" style="50" customWidth="1"/>
    <col min="10" max="10" width="12.140625" style="3" customWidth="1"/>
    <col min="11" max="11" width="5.42578125" style="53" customWidth="1"/>
    <col min="12" max="12" width="5.140625" style="3" customWidth="1"/>
    <col min="13" max="13" width="7.140625" style="79" customWidth="1"/>
    <col min="14" max="14" width="9.140625" style="3"/>
    <col min="15" max="16" width="8.28515625" style="122" hidden="1" customWidth="1"/>
    <col min="17" max="17" width="8.7109375" style="122" hidden="1" customWidth="1"/>
    <col min="18" max="18" width="8.28515625" style="197" hidden="1" customWidth="1"/>
    <col min="19" max="20" width="9.140625" style="3" hidden="1" customWidth="1"/>
    <col min="21" max="23" width="9.140625" style="3" customWidth="1"/>
    <col min="24" max="16384" width="9.140625" style="3"/>
  </cols>
  <sheetData>
    <row r="1" spans="1:19" s="1" customFormat="1" ht="18" customHeight="1" x14ac:dyDescent="0.3">
      <c r="A1" s="119" t="str">
        <f>Q25</f>
        <v/>
      </c>
      <c r="B1" s="409" t="s">
        <v>0</v>
      </c>
      <c r="C1" s="409"/>
      <c r="D1" s="104" t="s">
        <v>1</v>
      </c>
      <c r="E1" s="411" t="s">
        <v>122</v>
      </c>
      <c r="F1" s="411"/>
      <c r="G1" s="411"/>
      <c r="H1" s="411"/>
      <c r="I1" s="411"/>
      <c r="J1" s="411"/>
      <c r="K1" s="411"/>
      <c r="L1" s="411"/>
      <c r="M1" s="412"/>
      <c r="O1" s="121"/>
      <c r="P1" s="121"/>
      <c r="Q1" s="121"/>
      <c r="R1" s="121"/>
    </row>
    <row r="2" spans="1:19" ht="13.5" customHeight="1" thickBot="1" x14ac:dyDescent="0.25">
      <c r="A2" s="599">
        <f>M33</f>
        <v>0</v>
      </c>
      <c r="B2" s="334" t="s">
        <v>2</v>
      </c>
      <c r="C2" s="334"/>
      <c r="D2" s="622" t="s">
        <v>3</v>
      </c>
      <c r="E2" s="422" t="s">
        <v>123</v>
      </c>
      <c r="F2" s="422"/>
      <c r="G2" s="422"/>
      <c r="H2" s="422"/>
      <c r="I2" s="422"/>
      <c r="J2" s="422"/>
      <c r="K2" s="422"/>
      <c r="L2" s="422"/>
      <c r="M2" s="423"/>
      <c r="R2" s="122"/>
    </row>
    <row r="3" spans="1:19" s="7" customFormat="1" ht="11.25" customHeight="1" x14ac:dyDescent="0.2">
      <c r="A3" s="620"/>
      <c r="B3" s="334"/>
      <c r="C3" s="334"/>
      <c r="D3" s="336"/>
      <c r="E3" s="4" t="s">
        <v>5</v>
      </c>
      <c r="F3" s="424" t="s">
        <v>6</v>
      </c>
      <c r="G3" s="424"/>
      <c r="H3" s="424"/>
      <c r="I3" s="424"/>
      <c r="J3" s="424" t="s">
        <v>7</v>
      </c>
      <c r="K3" s="424"/>
      <c r="L3" s="5" t="s">
        <v>8</v>
      </c>
      <c r="M3" s="6" t="s">
        <v>9</v>
      </c>
      <c r="O3" s="178"/>
      <c r="P3" s="178"/>
      <c r="Q3" s="178"/>
      <c r="R3" s="179"/>
    </row>
    <row r="4" spans="1:19" s="13" customFormat="1" ht="18.75" customHeight="1" thickBot="1" x14ac:dyDescent="0.25">
      <c r="A4" s="620"/>
      <c r="B4" s="334"/>
      <c r="C4" s="334"/>
      <c r="D4" s="336"/>
      <c r="E4" s="173" t="s">
        <v>10</v>
      </c>
      <c r="F4" s="623" t="s">
        <v>11</v>
      </c>
      <c r="G4" s="623"/>
      <c r="H4" s="623"/>
      <c r="I4" s="624"/>
      <c r="J4" s="625" t="s">
        <v>12</v>
      </c>
      <c r="K4" s="626"/>
      <c r="L4" s="172" t="s">
        <v>13</v>
      </c>
      <c r="M4" s="105" t="s">
        <v>14</v>
      </c>
      <c r="O4" s="182"/>
      <c r="P4" s="182"/>
      <c r="Q4" s="61"/>
      <c r="R4" s="183"/>
    </row>
    <row r="5" spans="1:19" s="13" customFormat="1" ht="12.75" customHeight="1" x14ac:dyDescent="0.2">
      <c r="A5" s="621"/>
      <c r="B5" s="334"/>
      <c r="C5" s="334"/>
      <c r="D5" s="336"/>
      <c r="E5" s="16">
        <v>86</v>
      </c>
      <c r="F5" s="435" t="s">
        <v>124</v>
      </c>
      <c r="G5" s="435"/>
      <c r="H5" s="436"/>
      <c r="I5" s="169"/>
      <c r="J5" s="441" t="s">
        <v>16</v>
      </c>
      <c r="K5" s="443">
        <f>O5</f>
        <v>0</v>
      </c>
      <c r="L5" s="454">
        <v>1</v>
      </c>
      <c r="M5" s="629">
        <f>TRUNC(R5,2)</f>
        <v>0</v>
      </c>
      <c r="O5" s="445">
        <f>TRUNC(P5,2)</f>
        <v>0</v>
      </c>
      <c r="P5" s="445">
        <f>(I5+I6)/2</f>
        <v>0</v>
      </c>
      <c r="Q5" s="445">
        <v>1</v>
      </c>
      <c r="R5" s="446">
        <f>O5*L5</f>
        <v>0</v>
      </c>
      <c r="S5" s="17"/>
    </row>
    <row r="6" spans="1:19" s="13" customFormat="1" ht="12.75" customHeight="1" x14ac:dyDescent="0.2">
      <c r="A6" s="367"/>
      <c r="B6" s="379" t="s">
        <v>17</v>
      </c>
      <c r="C6" s="379"/>
      <c r="D6" s="374" t="s">
        <v>18</v>
      </c>
      <c r="E6" s="16">
        <v>87</v>
      </c>
      <c r="F6" s="435" t="s">
        <v>125</v>
      </c>
      <c r="G6" s="435"/>
      <c r="H6" s="436"/>
      <c r="I6" s="157"/>
      <c r="J6" s="442"/>
      <c r="K6" s="444"/>
      <c r="L6" s="455"/>
      <c r="M6" s="628"/>
      <c r="O6" s="445"/>
      <c r="P6" s="445"/>
      <c r="Q6" s="445"/>
      <c r="R6" s="446"/>
    </row>
    <row r="7" spans="1:19" s="13" customFormat="1" ht="12.75" customHeight="1" x14ac:dyDescent="0.2">
      <c r="A7" s="367"/>
      <c r="B7" s="379"/>
      <c r="C7" s="379"/>
      <c r="D7" s="374"/>
      <c r="E7" s="16">
        <v>88</v>
      </c>
      <c r="F7" s="435" t="s">
        <v>126</v>
      </c>
      <c r="G7" s="435"/>
      <c r="H7" s="436"/>
      <c r="I7" s="157"/>
      <c r="J7" s="441" t="s">
        <v>30</v>
      </c>
      <c r="K7" s="443">
        <f>O7</f>
        <v>0</v>
      </c>
      <c r="L7" s="454">
        <v>3</v>
      </c>
      <c r="M7" s="627">
        <f>K7*L7</f>
        <v>0</v>
      </c>
      <c r="O7" s="445">
        <f>TRUNC(P7,2)</f>
        <v>0</v>
      </c>
      <c r="P7" s="445">
        <f>(I7+I8)/2</f>
        <v>0</v>
      </c>
      <c r="Q7" s="445">
        <v>1</v>
      </c>
      <c r="R7" s="446">
        <f>O7*L7</f>
        <v>0</v>
      </c>
    </row>
    <row r="8" spans="1:19" s="13" customFormat="1" ht="12.75" customHeight="1" x14ac:dyDescent="0.2">
      <c r="A8" s="367"/>
      <c r="B8" s="379" t="s">
        <v>21</v>
      </c>
      <c r="C8" s="379"/>
      <c r="D8" s="374" t="s">
        <v>22</v>
      </c>
      <c r="E8" s="16">
        <v>89</v>
      </c>
      <c r="F8" s="435" t="s">
        <v>127</v>
      </c>
      <c r="G8" s="435"/>
      <c r="H8" s="436"/>
      <c r="I8" s="157"/>
      <c r="J8" s="442"/>
      <c r="K8" s="444"/>
      <c r="L8" s="455"/>
      <c r="M8" s="628"/>
      <c r="O8" s="445"/>
      <c r="P8" s="445"/>
      <c r="Q8" s="445"/>
      <c r="R8" s="446"/>
    </row>
    <row r="9" spans="1:19" s="13" customFormat="1" ht="12.75" customHeight="1" x14ac:dyDescent="0.2">
      <c r="A9" s="367"/>
      <c r="B9" s="379"/>
      <c r="C9" s="379"/>
      <c r="D9" s="374"/>
      <c r="E9" s="16">
        <v>90</v>
      </c>
      <c r="F9" s="435" t="s">
        <v>221</v>
      </c>
      <c r="G9" s="435"/>
      <c r="H9" s="436"/>
      <c r="I9" s="157"/>
      <c r="J9" s="441" t="s">
        <v>128</v>
      </c>
      <c r="K9" s="443">
        <f>O9</f>
        <v>0</v>
      </c>
      <c r="L9" s="454">
        <v>1</v>
      </c>
      <c r="M9" s="627">
        <f>K9*L9</f>
        <v>0</v>
      </c>
      <c r="O9" s="445">
        <f>TRUNC(P9,2)</f>
        <v>0</v>
      </c>
      <c r="P9" s="446">
        <f>(I9+I10)</f>
        <v>0</v>
      </c>
      <c r="Q9" s="445">
        <v>1</v>
      </c>
      <c r="R9" s="446">
        <f>O9*L9</f>
        <v>0</v>
      </c>
    </row>
    <row r="10" spans="1:19" s="13" customFormat="1" ht="12.75" customHeight="1" x14ac:dyDescent="0.2">
      <c r="A10" s="367"/>
      <c r="B10" s="379"/>
      <c r="C10" s="379"/>
      <c r="D10" s="374"/>
      <c r="E10" s="16">
        <v>91</v>
      </c>
      <c r="F10" s="435" t="s">
        <v>222</v>
      </c>
      <c r="G10" s="435"/>
      <c r="H10" s="436"/>
      <c r="I10" s="157"/>
      <c r="J10" s="442"/>
      <c r="K10" s="444"/>
      <c r="L10" s="455"/>
      <c r="M10" s="628"/>
      <c r="O10" s="445"/>
      <c r="P10" s="445"/>
      <c r="Q10" s="445"/>
      <c r="R10" s="446"/>
    </row>
    <row r="11" spans="1:19" s="13" customFormat="1" ht="12.75" customHeight="1" thickBot="1" x14ac:dyDescent="0.25">
      <c r="A11" s="367"/>
      <c r="B11" s="379" t="s">
        <v>26</v>
      </c>
      <c r="C11" s="379" t="s">
        <v>27</v>
      </c>
      <c r="D11" s="374" t="s">
        <v>28</v>
      </c>
      <c r="E11" s="16">
        <v>92</v>
      </c>
      <c r="F11" s="435" t="s">
        <v>129</v>
      </c>
      <c r="G11" s="435"/>
      <c r="H11" s="436"/>
      <c r="I11" s="157"/>
      <c r="J11" s="26" t="s">
        <v>55</v>
      </c>
      <c r="K11" s="164">
        <f>I11</f>
        <v>0</v>
      </c>
      <c r="L11" s="162">
        <v>1</v>
      </c>
      <c r="M11" s="171">
        <f>K11*L11</f>
        <v>0</v>
      </c>
      <c r="O11" s="445"/>
      <c r="P11" s="445"/>
      <c r="Q11" s="453"/>
      <c r="R11" s="446"/>
    </row>
    <row r="12" spans="1:19" s="13" customFormat="1" ht="12.75" customHeight="1" thickBot="1" x14ac:dyDescent="0.25">
      <c r="A12" s="367"/>
      <c r="B12" s="379"/>
      <c r="C12" s="379"/>
      <c r="D12" s="374"/>
      <c r="E12" s="498" t="s">
        <v>57</v>
      </c>
      <c r="F12" s="499"/>
      <c r="G12" s="499"/>
      <c r="H12" s="31"/>
      <c r="I12" s="32"/>
      <c r="J12" s="33"/>
      <c r="K12" s="34"/>
      <c r="L12" s="113"/>
      <c r="M12" s="95">
        <f>SUM(M5:M11)</f>
        <v>0</v>
      </c>
      <c r="O12" s="445"/>
      <c r="P12" s="445"/>
      <c r="Q12" s="453"/>
      <c r="R12" s="446"/>
    </row>
    <row r="13" spans="1:19" s="13" customFormat="1" ht="12.75" customHeight="1" thickBot="1" x14ac:dyDescent="0.25">
      <c r="A13" s="367"/>
      <c r="B13" s="379"/>
      <c r="C13" s="379"/>
      <c r="D13" s="374"/>
      <c r="E13" s="86">
        <v>93</v>
      </c>
      <c r="F13" s="630" t="s">
        <v>130</v>
      </c>
      <c r="G13" s="552"/>
      <c r="H13" s="553"/>
      <c r="I13" s="22"/>
      <c r="J13" s="87" t="s">
        <v>63</v>
      </c>
      <c r="K13" s="88"/>
      <c r="L13" s="89">
        <v>1</v>
      </c>
      <c r="M13" s="218">
        <f>L13*I13</f>
        <v>0</v>
      </c>
      <c r="O13" s="445"/>
      <c r="P13" s="446"/>
      <c r="Q13" s="453"/>
      <c r="R13" s="446"/>
    </row>
    <row r="14" spans="1:19" s="13" customFormat="1" ht="12.75" customHeight="1" x14ac:dyDescent="0.2">
      <c r="A14" s="367"/>
      <c r="B14" s="379"/>
      <c r="C14" s="379"/>
      <c r="D14" s="374"/>
      <c r="E14" s="96" t="s">
        <v>67</v>
      </c>
      <c r="F14" s="219"/>
      <c r="G14" s="219"/>
      <c r="H14" s="219"/>
      <c r="I14" s="219"/>
      <c r="J14" s="219"/>
      <c r="K14" s="219"/>
      <c r="L14" s="219"/>
      <c r="M14" s="220"/>
      <c r="O14" s="445"/>
      <c r="P14" s="445"/>
      <c r="Q14" s="453"/>
      <c r="R14" s="446"/>
    </row>
    <row r="15" spans="1:19" s="13" customFormat="1" ht="12.75" customHeight="1" x14ac:dyDescent="0.2">
      <c r="A15" s="367"/>
      <c r="B15" s="379"/>
      <c r="C15" s="379"/>
      <c r="D15" s="374"/>
      <c r="E15" s="221"/>
      <c r="F15" s="222"/>
      <c r="G15" s="222"/>
      <c r="H15" s="222"/>
      <c r="I15" s="222"/>
      <c r="J15" s="222"/>
      <c r="K15" s="222"/>
      <c r="L15" s="222"/>
      <c r="M15" s="223"/>
      <c r="O15" s="445"/>
      <c r="P15" s="446"/>
      <c r="Q15" s="453"/>
      <c r="R15" s="446"/>
    </row>
    <row r="16" spans="1:19" s="13" customFormat="1" ht="12.75" customHeight="1" x14ac:dyDescent="0.2">
      <c r="A16" s="367"/>
      <c r="B16" s="379" t="s">
        <v>37</v>
      </c>
      <c r="C16" s="379"/>
      <c r="D16" s="374" t="s">
        <v>38</v>
      </c>
      <c r="E16" s="221"/>
      <c r="F16" s="222"/>
      <c r="G16" s="222"/>
      <c r="H16" s="222"/>
      <c r="I16" s="222"/>
      <c r="J16" s="222"/>
      <c r="K16" s="222"/>
      <c r="L16" s="222"/>
      <c r="M16" s="223"/>
      <c r="O16" s="445"/>
      <c r="P16" s="445"/>
      <c r="Q16" s="453"/>
      <c r="R16" s="446"/>
    </row>
    <row r="17" spans="1:19" s="13" customFormat="1" ht="12.75" customHeight="1" x14ac:dyDescent="0.2">
      <c r="A17" s="367"/>
      <c r="B17" s="379"/>
      <c r="C17" s="379"/>
      <c r="D17" s="374"/>
      <c r="E17" s="221"/>
      <c r="F17" s="222"/>
      <c r="G17" s="243"/>
      <c r="H17" s="243"/>
      <c r="I17" s="243"/>
      <c r="J17" s="243"/>
      <c r="K17" s="222"/>
      <c r="L17" s="222"/>
      <c r="M17" s="223"/>
      <c r="O17" s="445"/>
      <c r="P17" s="446"/>
      <c r="Q17" s="453"/>
      <c r="R17" s="446"/>
    </row>
    <row r="18" spans="1:19" s="13" customFormat="1" ht="12.75" customHeight="1" x14ac:dyDescent="0.2">
      <c r="A18" s="378"/>
      <c r="B18" s="379" t="s">
        <v>42</v>
      </c>
      <c r="C18" s="379" t="s">
        <v>43</v>
      </c>
      <c r="D18" s="374" t="s">
        <v>44</v>
      </c>
      <c r="E18" s="221"/>
      <c r="F18" s="222"/>
      <c r="G18" s="243"/>
      <c r="H18" s="243"/>
      <c r="I18" s="243"/>
      <c r="J18" s="243"/>
      <c r="K18" s="222"/>
      <c r="L18" s="222"/>
      <c r="M18" s="223"/>
      <c r="O18" s="445"/>
      <c r="P18" s="445"/>
      <c r="Q18" s="453"/>
      <c r="R18" s="446"/>
    </row>
    <row r="19" spans="1:19" s="13" customFormat="1" ht="12.75" customHeight="1" x14ac:dyDescent="0.25">
      <c r="A19" s="378"/>
      <c r="B19" s="379"/>
      <c r="C19" s="379"/>
      <c r="D19" s="374"/>
      <c r="E19" s="221"/>
      <c r="F19" s="222"/>
      <c r="G19" s="224"/>
      <c r="H19" s="224"/>
      <c r="I19" s="224"/>
      <c r="J19" s="225"/>
      <c r="K19" s="222"/>
      <c r="L19" s="222"/>
      <c r="M19" s="223"/>
      <c r="O19" s="445"/>
      <c r="P19" s="446"/>
      <c r="Q19" s="453"/>
      <c r="R19" s="446"/>
    </row>
    <row r="20" spans="1:19" s="13" customFormat="1" ht="12.75" customHeight="1" x14ac:dyDescent="0.2">
      <c r="A20" s="378"/>
      <c r="B20" s="379"/>
      <c r="C20" s="379"/>
      <c r="D20" s="374"/>
      <c r="E20" s="221"/>
      <c r="F20" s="222"/>
      <c r="G20" s="243"/>
      <c r="H20" s="243"/>
      <c r="I20" s="243"/>
      <c r="J20" s="243"/>
      <c r="K20" s="222"/>
      <c r="L20" s="222"/>
      <c r="M20" s="223"/>
      <c r="O20" s="445"/>
      <c r="P20" s="445"/>
      <c r="Q20" s="453"/>
      <c r="R20" s="446"/>
    </row>
    <row r="21" spans="1:19" s="13" customFormat="1" ht="12.75" customHeight="1" x14ac:dyDescent="0.2">
      <c r="A21" s="378"/>
      <c r="B21" s="379"/>
      <c r="C21" s="379"/>
      <c r="D21" s="374"/>
      <c r="E21" s="221"/>
      <c r="F21" s="222"/>
      <c r="G21" s="243"/>
      <c r="H21" s="243"/>
      <c r="I21" s="243"/>
      <c r="J21" s="243"/>
      <c r="K21" s="222"/>
      <c r="L21" s="222"/>
      <c r="M21" s="223"/>
      <c r="O21" s="85"/>
      <c r="P21" s="85"/>
      <c r="Q21" s="90"/>
      <c r="R21" s="205"/>
    </row>
    <row r="22" spans="1:19" s="13" customFormat="1" ht="12.75" customHeight="1" x14ac:dyDescent="0.25">
      <c r="A22" s="378"/>
      <c r="B22" s="379" t="s">
        <v>51</v>
      </c>
      <c r="C22" s="379"/>
      <c r="D22" s="374"/>
      <c r="E22" s="221"/>
      <c r="F22" s="222"/>
      <c r="G22" s="225"/>
      <c r="H22" s="225"/>
      <c r="I22" s="225"/>
      <c r="J22" s="225"/>
      <c r="K22" s="222"/>
      <c r="L22" s="222"/>
      <c r="M22" s="223"/>
      <c r="O22" s="85"/>
      <c r="P22" s="199"/>
      <c r="Q22" s="199"/>
      <c r="R22" s="199"/>
      <c r="S22" s="182"/>
    </row>
    <row r="23" spans="1:19" s="13" customFormat="1" ht="12.75" customHeight="1" x14ac:dyDescent="0.2">
      <c r="A23" s="378"/>
      <c r="B23" s="379"/>
      <c r="C23" s="379"/>
      <c r="D23" s="374"/>
      <c r="E23" s="221"/>
      <c r="F23" s="222"/>
      <c r="G23" s="585" t="str">
        <f>S35</f>
        <v/>
      </c>
      <c r="H23" s="585"/>
      <c r="I23" s="585"/>
      <c r="J23" s="585"/>
      <c r="K23" s="222"/>
      <c r="L23" s="222"/>
      <c r="M23" s="223"/>
      <c r="O23" s="85"/>
      <c r="P23" s="199" t="str">
        <f>IF(A2&gt;109.99,P29,"")</f>
        <v/>
      </c>
      <c r="Q23" s="199" t="str">
        <f>IF(A2&gt;114.99,Q29,"")</f>
        <v/>
      </c>
      <c r="R23" s="199" t="str">
        <f>IF(A2&gt;119.99,R29,"")</f>
        <v/>
      </c>
      <c r="S23" s="182"/>
    </row>
    <row r="24" spans="1:19" s="13" customFormat="1" ht="12.75" customHeight="1" x14ac:dyDescent="0.2">
      <c r="A24" s="21"/>
      <c r="B24" s="112" t="s">
        <v>56</v>
      </c>
      <c r="C24" s="379"/>
      <c r="D24" s="374"/>
      <c r="E24" s="221"/>
      <c r="F24" s="222"/>
      <c r="G24" s="585"/>
      <c r="H24" s="585"/>
      <c r="I24" s="585"/>
      <c r="J24" s="585"/>
      <c r="K24" s="222"/>
      <c r="L24" s="222"/>
      <c r="M24" s="223"/>
      <c r="O24" s="85"/>
      <c r="P24" s="199"/>
      <c r="Q24" s="200">
        <f>MIN(P23,Q23,R23)</f>
        <v>0</v>
      </c>
      <c r="R24" s="199"/>
      <c r="S24" s="182"/>
    </row>
    <row r="25" spans="1:19" s="13" customFormat="1" ht="12.75" customHeight="1" x14ac:dyDescent="0.2">
      <c r="A25" s="367"/>
      <c r="B25" s="368" t="s">
        <v>58</v>
      </c>
      <c r="C25" s="369"/>
      <c r="D25" s="374" t="s">
        <v>59</v>
      </c>
      <c r="E25" s="221"/>
      <c r="F25" s="222"/>
      <c r="G25" s="222"/>
      <c r="H25" s="222"/>
      <c r="I25" s="222"/>
      <c r="J25" s="222"/>
      <c r="K25" s="222"/>
      <c r="L25" s="222"/>
      <c r="M25" s="223"/>
      <c r="O25" s="85"/>
      <c r="P25" s="201"/>
      <c r="Q25" s="201" t="str">
        <f>ROMAN(Q24)</f>
        <v/>
      </c>
      <c r="R25" s="201"/>
      <c r="S25" s="85"/>
    </row>
    <row r="26" spans="1:19" s="13" customFormat="1" ht="12.75" customHeight="1" x14ac:dyDescent="0.2">
      <c r="A26" s="367"/>
      <c r="B26" s="370"/>
      <c r="C26" s="371"/>
      <c r="D26" s="374"/>
      <c r="E26" s="221"/>
      <c r="F26" s="222"/>
      <c r="G26" s="222"/>
      <c r="H26" s="222"/>
      <c r="I26" s="222"/>
      <c r="J26" s="222"/>
      <c r="K26" s="222"/>
      <c r="L26" s="222"/>
      <c r="M26" s="223"/>
      <c r="O26" s="85"/>
      <c r="P26" s="199"/>
      <c r="Q26" s="199"/>
      <c r="R26" s="199"/>
      <c r="S26" s="182"/>
    </row>
    <row r="27" spans="1:19" s="13" customFormat="1" ht="12.75" customHeight="1" x14ac:dyDescent="0.2">
      <c r="A27" s="367"/>
      <c r="B27" s="370"/>
      <c r="C27" s="371"/>
      <c r="D27" s="374"/>
      <c r="E27" s="221"/>
      <c r="F27" s="222"/>
      <c r="G27" s="631" t="str">
        <f>R33</f>
        <v/>
      </c>
      <c r="H27" s="631"/>
      <c r="I27" s="631"/>
      <c r="J27" s="631"/>
      <c r="K27" s="222"/>
      <c r="L27" s="222"/>
      <c r="M27" s="223"/>
      <c r="O27" s="182"/>
      <c r="P27" s="199"/>
      <c r="Q27" s="199"/>
      <c r="R27" s="199"/>
      <c r="S27" s="182"/>
    </row>
    <row r="28" spans="1:19" ht="12.75" customHeight="1" x14ac:dyDescent="0.2">
      <c r="A28" s="367"/>
      <c r="B28" s="370"/>
      <c r="C28" s="371"/>
      <c r="D28" s="374"/>
      <c r="E28" s="221"/>
      <c r="F28" s="222"/>
      <c r="G28" s="631"/>
      <c r="H28" s="631"/>
      <c r="I28" s="631"/>
      <c r="J28" s="631"/>
      <c r="K28" s="222"/>
      <c r="L28" s="222"/>
      <c r="M28" s="223"/>
      <c r="P28" s="199"/>
      <c r="Q28" s="199"/>
      <c r="R28" s="199"/>
      <c r="S28" s="182"/>
    </row>
    <row r="29" spans="1:19" ht="12.75" customHeight="1" x14ac:dyDescent="0.2">
      <c r="A29" s="367"/>
      <c r="B29" s="370"/>
      <c r="C29" s="371"/>
      <c r="D29" s="374"/>
      <c r="E29" s="221"/>
      <c r="F29" s="222"/>
      <c r="G29" s="222"/>
      <c r="H29" s="222"/>
      <c r="I29" s="222"/>
      <c r="J29" s="222"/>
      <c r="K29" s="222"/>
      <c r="L29" s="222"/>
      <c r="M29" s="223"/>
      <c r="P29" s="199">
        <v>3</v>
      </c>
      <c r="Q29" s="199">
        <v>2</v>
      </c>
      <c r="R29" s="199">
        <v>1</v>
      </c>
      <c r="S29" s="182"/>
    </row>
    <row r="30" spans="1:19" ht="12.75" customHeight="1" x14ac:dyDescent="0.2">
      <c r="A30" s="367"/>
      <c r="B30" s="372"/>
      <c r="C30" s="373"/>
      <c r="D30" s="374"/>
      <c r="E30" s="221"/>
      <c r="F30" s="222"/>
      <c r="G30" s="222"/>
      <c r="H30" s="222"/>
      <c r="I30" s="222"/>
      <c r="J30" s="222"/>
      <c r="K30" s="222"/>
      <c r="L30" s="222"/>
      <c r="M30" s="223"/>
      <c r="P30" s="199"/>
      <c r="Q30" s="199"/>
      <c r="R30" s="199"/>
      <c r="S30" s="182"/>
    </row>
    <row r="31" spans="1:19" ht="12.75" customHeight="1" x14ac:dyDescent="0.2">
      <c r="A31" s="332"/>
      <c r="B31" s="334" t="s">
        <v>68</v>
      </c>
      <c r="C31" s="334" t="s">
        <v>69</v>
      </c>
      <c r="D31" s="336" t="s">
        <v>70</v>
      </c>
      <c r="E31" s="221"/>
      <c r="F31" s="222"/>
      <c r="G31" s="222"/>
      <c r="H31" s="222"/>
      <c r="I31" s="222"/>
      <c r="J31" s="222"/>
      <c r="K31" s="222"/>
      <c r="L31" s="222"/>
      <c r="M31" s="223"/>
      <c r="P31" s="199"/>
      <c r="Q31" s="199"/>
      <c r="R31" s="199"/>
      <c r="S31" s="182"/>
    </row>
    <row r="32" spans="1:19" ht="12.75" customHeight="1" thickBot="1" x14ac:dyDescent="0.25">
      <c r="A32" s="332"/>
      <c r="B32" s="334"/>
      <c r="C32" s="334"/>
      <c r="D32" s="336"/>
      <c r="E32" s="226"/>
      <c r="F32" s="227"/>
      <c r="G32" s="227"/>
      <c r="H32" s="227"/>
      <c r="I32" s="227"/>
      <c r="J32" s="227"/>
      <c r="K32" s="227"/>
      <c r="L32" s="227"/>
      <c r="M32" s="228"/>
      <c r="P32" s="203" t="s">
        <v>146</v>
      </c>
      <c r="Q32" s="199"/>
      <c r="R32" s="199"/>
      <c r="S32" s="182" t="str">
        <f>(IF(Q24=3,P32,""))</f>
        <v/>
      </c>
    </row>
    <row r="33" spans="1:19" ht="12.75" customHeight="1" thickBot="1" x14ac:dyDescent="0.25">
      <c r="A33" s="332"/>
      <c r="B33" s="334"/>
      <c r="C33" s="334"/>
      <c r="D33" s="336"/>
      <c r="E33" s="44">
        <v>99</v>
      </c>
      <c r="F33" s="525" t="s">
        <v>71</v>
      </c>
      <c r="G33" s="526"/>
      <c r="H33" s="526"/>
      <c r="I33" s="526"/>
      <c r="J33" s="526"/>
      <c r="K33" s="526"/>
      <c r="L33" s="526"/>
      <c r="M33" s="76">
        <f>M12-M13</f>
        <v>0</v>
      </c>
      <c r="P33" s="203" t="s">
        <v>147</v>
      </c>
      <c r="Q33" s="199"/>
      <c r="R33" s="273" t="str">
        <f>IF(A2&gt;124.99,"Význačná trofej","")</f>
        <v/>
      </c>
      <c r="S33" s="182" t="str">
        <f>(IF(Q24=2,P33,""))</f>
        <v/>
      </c>
    </row>
    <row r="34" spans="1:19" ht="24.75" customHeight="1" x14ac:dyDescent="0.2">
      <c r="A34" s="332"/>
      <c r="B34" s="334" t="s">
        <v>72</v>
      </c>
      <c r="C34" s="334"/>
      <c r="D34" s="336" t="s">
        <v>73</v>
      </c>
      <c r="E34" s="632"/>
      <c r="F34" s="341"/>
      <c r="G34" s="341"/>
      <c r="H34" s="340"/>
      <c r="I34" s="341"/>
      <c r="J34" s="533"/>
      <c r="K34" s="534"/>
      <c r="L34" s="633"/>
      <c r="M34" s="520"/>
      <c r="N34" s="46"/>
      <c r="P34" s="203" t="s">
        <v>190</v>
      </c>
      <c r="Q34" s="199"/>
      <c r="R34" s="199"/>
      <c r="S34" s="182" t="str">
        <f>(IF(Q24=1,P34,""))</f>
        <v/>
      </c>
    </row>
    <row r="35" spans="1:19" ht="12" customHeight="1" thickBot="1" x14ac:dyDescent="0.25">
      <c r="A35" s="333"/>
      <c r="B35" s="335"/>
      <c r="C35" s="335"/>
      <c r="D35" s="337"/>
      <c r="E35" s="521" t="s">
        <v>74</v>
      </c>
      <c r="F35" s="330"/>
      <c r="G35" s="330"/>
      <c r="H35" s="330" t="s">
        <v>75</v>
      </c>
      <c r="I35" s="330"/>
      <c r="J35" s="330" t="s">
        <v>76</v>
      </c>
      <c r="K35" s="330"/>
      <c r="L35" s="330" t="s">
        <v>77</v>
      </c>
      <c r="M35" s="331"/>
      <c r="N35" s="46"/>
      <c r="Q35" s="522"/>
      <c r="R35" s="522"/>
      <c r="S35" s="3" t="str">
        <f>CONCATENATE(S34,S33,S32)</f>
        <v/>
      </c>
    </row>
    <row r="36" spans="1:19" x14ac:dyDescent="0.2">
      <c r="E36" s="46"/>
      <c r="F36" s="46"/>
      <c r="G36" s="46"/>
      <c r="H36" s="46"/>
      <c r="J36" s="46"/>
      <c r="K36" s="51"/>
      <c r="L36" s="46"/>
      <c r="N36" s="46"/>
      <c r="O36" s="195"/>
      <c r="P36" s="195"/>
      <c r="Q36" s="195"/>
      <c r="R36" s="196"/>
    </row>
    <row r="37" spans="1:19" x14ac:dyDescent="0.2">
      <c r="E37" s="46"/>
      <c r="F37" s="46"/>
      <c r="G37" s="46"/>
      <c r="H37" s="46"/>
      <c r="J37" s="46"/>
      <c r="K37" s="51"/>
      <c r="L37" s="46"/>
      <c r="N37" s="46"/>
      <c r="O37" s="195"/>
      <c r="P37" s="195"/>
      <c r="Q37" s="195"/>
      <c r="R37" s="196"/>
    </row>
    <row r="38" spans="1:19" x14ac:dyDescent="0.2">
      <c r="E38" s="46"/>
      <c r="F38" s="46"/>
      <c r="G38" s="46"/>
      <c r="H38" s="46"/>
      <c r="J38" s="46"/>
      <c r="K38" s="51"/>
      <c r="L38" s="46"/>
      <c r="N38" s="46"/>
      <c r="O38" s="195"/>
      <c r="P38" s="195"/>
      <c r="Q38" s="195"/>
      <c r="R38" s="196"/>
    </row>
    <row r="39" spans="1:19" x14ac:dyDescent="0.2">
      <c r="E39" s="46"/>
      <c r="F39" s="46"/>
      <c r="G39" s="46"/>
      <c r="H39" s="46"/>
      <c r="J39" s="46"/>
      <c r="K39" s="51"/>
      <c r="L39" s="46"/>
      <c r="N39" s="46"/>
      <c r="O39" s="195"/>
      <c r="P39" s="195"/>
      <c r="Q39" s="195"/>
      <c r="R39" s="196"/>
    </row>
    <row r="40" spans="1:19" x14ac:dyDescent="0.2">
      <c r="E40" s="46"/>
      <c r="F40" s="46"/>
      <c r="G40" s="46"/>
      <c r="H40" s="46"/>
      <c r="J40" s="46"/>
      <c r="K40" s="51"/>
      <c r="L40" s="46"/>
      <c r="N40" s="46"/>
      <c r="O40" s="195"/>
      <c r="P40" s="195"/>
      <c r="Q40" s="195"/>
      <c r="R40" s="196"/>
    </row>
    <row r="41" spans="1:19" x14ac:dyDescent="0.2">
      <c r="E41" s="46"/>
      <c r="F41" s="46"/>
      <c r="G41" s="46"/>
      <c r="H41" s="46"/>
      <c r="J41" s="46"/>
      <c r="K41" s="51"/>
      <c r="L41" s="46"/>
      <c r="N41" s="46"/>
      <c r="O41" s="195"/>
      <c r="P41" s="195"/>
      <c r="Q41" s="195"/>
      <c r="R41" s="196"/>
    </row>
    <row r="42" spans="1:19" x14ac:dyDescent="0.2">
      <c r="E42" s="46"/>
      <c r="F42" s="46"/>
      <c r="G42" s="46"/>
      <c r="H42" s="46"/>
      <c r="J42" s="46"/>
      <c r="K42" s="51"/>
      <c r="L42" s="46"/>
      <c r="N42" s="46"/>
      <c r="O42" s="195"/>
      <c r="P42" s="195"/>
      <c r="Q42" s="195"/>
      <c r="R42" s="196"/>
    </row>
    <row r="43" spans="1:19" x14ac:dyDescent="0.2">
      <c r="E43" s="46"/>
      <c r="F43" s="46"/>
      <c r="G43" s="46"/>
      <c r="H43" s="46"/>
      <c r="J43" s="46"/>
      <c r="K43" s="51"/>
      <c r="L43" s="46"/>
      <c r="N43" s="46"/>
      <c r="O43" s="195"/>
      <c r="P43" s="195"/>
      <c r="Q43" s="195"/>
      <c r="R43" s="196"/>
    </row>
    <row r="44" spans="1:19" x14ac:dyDescent="0.2">
      <c r="E44" s="46"/>
      <c r="F44" s="46"/>
      <c r="G44" s="46"/>
      <c r="H44" s="46"/>
      <c r="J44" s="46"/>
      <c r="K44" s="51"/>
      <c r="L44" s="46"/>
      <c r="N44" s="46"/>
      <c r="O44" s="195"/>
      <c r="P44" s="195"/>
      <c r="Q44" s="195"/>
      <c r="R44" s="196"/>
    </row>
    <row r="45" spans="1:19" x14ac:dyDescent="0.2">
      <c r="E45" s="46"/>
      <c r="F45" s="46"/>
      <c r="G45" s="46"/>
      <c r="H45" s="46"/>
      <c r="J45" s="46"/>
      <c r="K45" s="51"/>
      <c r="L45" s="46"/>
      <c r="N45" s="46"/>
      <c r="O45" s="195"/>
      <c r="P45" s="195"/>
      <c r="Q45" s="195"/>
      <c r="R45" s="196"/>
    </row>
    <row r="46" spans="1:19" x14ac:dyDescent="0.2">
      <c r="E46" s="46"/>
      <c r="F46" s="46"/>
      <c r="G46" s="46"/>
      <c r="H46" s="46"/>
      <c r="J46" s="46"/>
      <c r="K46" s="51"/>
      <c r="L46" s="46"/>
      <c r="N46" s="46"/>
      <c r="O46" s="195"/>
      <c r="P46" s="195"/>
      <c r="Q46" s="195"/>
      <c r="R46" s="196"/>
    </row>
    <row r="47" spans="1:19" x14ac:dyDescent="0.2">
      <c r="E47" s="46"/>
      <c r="F47" s="46"/>
      <c r="G47" s="46"/>
      <c r="H47" s="46"/>
      <c r="J47" s="46"/>
      <c r="K47" s="51"/>
      <c r="L47" s="46"/>
      <c r="N47" s="46"/>
      <c r="O47" s="195"/>
      <c r="P47" s="195"/>
      <c r="Q47" s="195"/>
      <c r="R47" s="196"/>
    </row>
    <row r="48" spans="1:19" x14ac:dyDescent="0.2">
      <c r="E48" s="46"/>
      <c r="F48" s="46"/>
      <c r="G48" s="46"/>
      <c r="H48" s="46"/>
      <c r="J48" s="46"/>
      <c r="K48" s="51"/>
      <c r="L48" s="46"/>
      <c r="N48" s="46"/>
      <c r="O48" s="195"/>
      <c r="P48" s="195"/>
      <c r="Q48" s="195"/>
      <c r="R48" s="196"/>
    </row>
    <row r="49" spans="5:18" x14ac:dyDescent="0.2">
      <c r="E49" s="46"/>
      <c r="F49" s="46"/>
      <c r="G49" s="46"/>
      <c r="H49" s="46"/>
      <c r="J49" s="46"/>
      <c r="K49" s="51"/>
      <c r="L49" s="46"/>
      <c r="N49" s="46"/>
      <c r="O49" s="195"/>
      <c r="P49" s="195"/>
      <c r="Q49" s="195"/>
      <c r="R49" s="196"/>
    </row>
    <row r="50" spans="5:18" ht="25.5" customHeight="1" x14ac:dyDescent="0.2">
      <c r="E50" s="46"/>
      <c r="F50" s="46"/>
      <c r="G50" s="46"/>
      <c r="H50" s="46"/>
      <c r="J50" s="46"/>
      <c r="K50" s="51"/>
      <c r="L50" s="46"/>
      <c r="N50" s="46"/>
      <c r="O50" s="195"/>
      <c r="P50" s="195"/>
      <c r="Q50" s="195"/>
      <c r="R50" s="196"/>
    </row>
    <row r="51" spans="5:18" ht="27" customHeight="1" x14ac:dyDescent="0.2">
      <c r="E51" s="46"/>
      <c r="F51" s="46"/>
      <c r="G51" s="46"/>
      <c r="H51" s="46"/>
      <c r="J51" s="46"/>
      <c r="K51" s="51"/>
      <c r="L51" s="46"/>
      <c r="N51" s="46"/>
      <c r="O51" s="195"/>
      <c r="P51" s="195"/>
      <c r="Q51" s="195"/>
      <c r="R51" s="196"/>
    </row>
  </sheetData>
  <sheetProtection selectLockedCells="1"/>
  <mergeCells count="104">
    <mergeCell ref="Q17:Q18"/>
    <mergeCell ref="R17:R18"/>
    <mergeCell ref="A31:A33"/>
    <mergeCell ref="B31:B33"/>
    <mergeCell ref="C31:C35"/>
    <mergeCell ref="D31:D33"/>
    <mergeCell ref="F33:L33"/>
    <mergeCell ref="A34:A35"/>
    <mergeCell ref="B34:B35"/>
    <mergeCell ref="D34:D35"/>
    <mergeCell ref="E34:G34"/>
    <mergeCell ref="H34:I34"/>
    <mergeCell ref="Q19:Q20"/>
    <mergeCell ref="R19:R20"/>
    <mergeCell ref="A22:A23"/>
    <mergeCell ref="B22:B23"/>
    <mergeCell ref="G23:J24"/>
    <mergeCell ref="Q35:R35"/>
    <mergeCell ref="J34:K34"/>
    <mergeCell ref="L34:M34"/>
    <mergeCell ref="E35:G35"/>
    <mergeCell ref="H35:I35"/>
    <mergeCell ref="J35:K35"/>
    <mergeCell ref="L35:M35"/>
    <mergeCell ref="A25:A30"/>
    <mergeCell ref="B25:C30"/>
    <mergeCell ref="D25:D30"/>
    <mergeCell ref="G27:J28"/>
    <mergeCell ref="A16:A17"/>
    <mergeCell ref="B16:C17"/>
    <mergeCell ref="D16:D17"/>
    <mergeCell ref="O17:O18"/>
    <mergeCell ref="P17:P18"/>
    <mergeCell ref="A18:A21"/>
    <mergeCell ref="B18:B21"/>
    <mergeCell ref="C18:C24"/>
    <mergeCell ref="D18:D24"/>
    <mergeCell ref="O19:O20"/>
    <mergeCell ref="P19:P20"/>
    <mergeCell ref="A11:A15"/>
    <mergeCell ref="B11:B15"/>
    <mergeCell ref="C11:C15"/>
    <mergeCell ref="D11:D15"/>
    <mergeCell ref="F13:H13"/>
    <mergeCell ref="P9:P10"/>
    <mergeCell ref="Q9:Q10"/>
    <mergeCell ref="O15:O16"/>
    <mergeCell ref="P15:P16"/>
    <mergeCell ref="Q15:Q16"/>
    <mergeCell ref="R15:R16"/>
    <mergeCell ref="R9:R10"/>
    <mergeCell ref="R11:R12"/>
    <mergeCell ref="O13:O14"/>
    <mergeCell ref="P13:P14"/>
    <mergeCell ref="F10:H10"/>
    <mergeCell ref="F11:H11"/>
    <mergeCell ref="O11:O12"/>
    <mergeCell ref="P11:P12"/>
    <mergeCell ref="Q11:Q12"/>
    <mergeCell ref="K9:K10"/>
    <mergeCell ref="L9:L10"/>
    <mergeCell ref="M9:M10"/>
    <mergeCell ref="O9:O10"/>
    <mergeCell ref="E12:G12"/>
    <mergeCell ref="Q13:Q14"/>
    <mergeCell ref="R13:R14"/>
    <mergeCell ref="M7:M8"/>
    <mergeCell ref="O7:O8"/>
    <mergeCell ref="K7:K8"/>
    <mergeCell ref="F5:H5"/>
    <mergeCell ref="J5:J6"/>
    <mergeCell ref="K5:K6"/>
    <mergeCell ref="L5:L6"/>
    <mergeCell ref="M5:M6"/>
    <mergeCell ref="A6:A7"/>
    <mergeCell ref="B6:C7"/>
    <mergeCell ref="D6:D7"/>
    <mergeCell ref="F6:H6"/>
    <mergeCell ref="F7:H7"/>
    <mergeCell ref="J7:J8"/>
    <mergeCell ref="P7:P8"/>
    <mergeCell ref="Q7:Q8"/>
    <mergeCell ref="R7:R8"/>
    <mergeCell ref="P5:P6"/>
    <mergeCell ref="Q5:Q6"/>
    <mergeCell ref="R5:R6"/>
    <mergeCell ref="B1:C1"/>
    <mergeCell ref="E1:M1"/>
    <mergeCell ref="A2:A5"/>
    <mergeCell ref="B2:C5"/>
    <mergeCell ref="D2:D5"/>
    <mergeCell ref="E2:M2"/>
    <mergeCell ref="F3:I3"/>
    <mergeCell ref="J3:K3"/>
    <mergeCell ref="F4:I4"/>
    <mergeCell ref="J4:K4"/>
    <mergeCell ref="O5:O6"/>
    <mergeCell ref="A8:A10"/>
    <mergeCell ref="B8:C10"/>
    <mergeCell ref="D8:D10"/>
    <mergeCell ref="F8:H8"/>
    <mergeCell ref="F9:H9"/>
    <mergeCell ref="J9:J10"/>
    <mergeCell ref="L7:L8"/>
  </mergeCells>
  <printOptions verticalCentered="1"/>
  <pageMargins left="0.19685039370078741" right="0.19685039370078741" top="0.39370078740157483" bottom="0.39370078740157483" header="0.51181102362204722" footer="0.51181102362204722"/>
  <pageSetup orientation="landscape" verticalDpi="4294967295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0"/>
  <sheetViews>
    <sheetView workbookViewId="0">
      <selection activeCell="L45" sqref="L45"/>
    </sheetView>
  </sheetViews>
  <sheetFormatPr defaultRowHeight="12.75" x14ac:dyDescent="0.2"/>
  <cols>
    <col min="1" max="1" width="3.42578125" style="47" customWidth="1"/>
    <col min="2" max="3" width="2" style="77" customWidth="1"/>
    <col min="4" max="4" width="2" style="78" customWidth="1"/>
    <col min="5" max="5" width="4.28515625" style="52" customWidth="1"/>
    <col min="6" max="6" width="3.140625" style="3" customWidth="1"/>
    <col min="7" max="7" width="9.28515625" style="3" customWidth="1"/>
    <col min="8" max="8" width="5.140625" style="3" customWidth="1"/>
    <col min="9" max="9" width="6.42578125" style="50" customWidth="1"/>
    <col min="10" max="10" width="13" style="3" customWidth="1"/>
    <col min="11" max="11" width="5.42578125" style="53" customWidth="1"/>
    <col min="12" max="12" width="5.140625" style="3" customWidth="1"/>
    <col min="13" max="13" width="6.42578125" style="79" customWidth="1"/>
    <col min="14" max="14" width="9.140625" style="3"/>
    <col min="15" max="16" width="8.28515625" style="122" hidden="1" customWidth="1"/>
    <col min="17" max="17" width="8.7109375" style="122" hidden="1" customWidth="1"/>
    <col min="18" max="18" width="8.28515625" style="197" hidden="1" customWidth="1"/>
    <col min="19" max="19" width="11.5703125" style="122" hidden="1" customWidth="1"/>
    <col min="20" max="16384" width="9.140625" style="3"/>
  </cols>
  <sheetData>
    <row r="1" spans="1:19" s="1" customFormat="1" ht="18.75" customHeight="1" x14ac:dyDescent="0.2">
      <c r="A1" s="119" t="s">
        <v>145</v>
      </c>
      <c r="B1" s="409" t="s">
        <v>0</v>
      </c>
      <c r="C1" s="409"/>
      <c r="D1" s="55" t="s">
        <v>1</v>
      </c>
      <c r="E1" s="635" t="s">
        <v>152</v>
      </c>
      <c r="F1" s="636"/>
      <c r="G1" s="636"/>
      <c r="H1" s="636"/>
      <c r="I1" s="636"/>
      <c r="J1" s="636"/>
      <c r="K1" s="636"/>
      <c r="L1" s="636"/>
      <c r="M1" s="637"/>
      <c r="O1" s="121"/>
      <c r="P1" s="121"/>
      <c r="Q1" s="121"/>
      <c r="R1" s="121"/>
      <c r="S1" s="121"/>
    </row>
    <row r="2" spans="1:19" ht="18.75" customHeight="1" thickBot="1" x14ac:dyDescent="0.25">
      <c r="A2" s="427">
        <f>M9</f>
        <v>0</v>
      </c>
      <c r="B2" s="415" t="s">
        <v>2</v>
      </c>
      <c r="C2" s="417"/>
      <c r="D2" s="419" t="s">
        <v>3</v>
      </c>
      <c r="E2" s="679"/>
      <c r="F2" s="680"/>
      <c r="G2" s="680"/>
      <c r="H2" s="680"/>
      <c r="I2" s="680"/>
      <c r="J2" s="680"/>
      <c r="K2" s="680"/>
      <c r="L2" s="680"/>
      <c r="M2" s="681"/>
      <c r="R2" s="122"/>
    </row>
    <row r="3" spans="1:19" s="7" customFormat="1" ht="11.25" customHeight="1" x14ac:dyDescent="0.2">
      <c r="A3" s="570"/>
      <c r="B3" s="416"/>
      <c r="C3" s="418"/>
      <c r="D3" s="420"/>
      <c r="E3" s="4" t="s">
        <v>5</v>
      </c>
      <c r="F3" s="404" t="s">
        <v>6</v>
      </c>
      <c r="G3" s="683"/>
      <c r="H3" s="683"/>
      <c r="I3" s="683"/>
      <c r="J3" s="683"/>
      <c r="K3" s="684"/>
      <c r="L3" s="56" t="s">
        <v>8</v>
      </c>
      <c r="M3" s="57" t="s">
        <v>9</v>
      </c>
      <c r="O3" s="178"/>
      <c r="P3" s="178"/>
      <c r="Q3" s="178" t="s">
        <v>8</v>
      </c>
      <c r="R3" s="179" t="s">
        <v>9</v>
      </c>
      <c r="S3" s="178"/>
    </row>
    <row r="4" spans="1:19" s="13" customFormat="1" ht="18.75" customHeight="1" thickBot="1" x14ac:dyDescent="0.25">
      <c r="A4" s="570"/>
      <c r="B4" s="416"/>
      <c r="C4" s="418"/>
      <c r="D4" s="420"/>
      <c r="E4" s="58" t="s">
        <v>10</v>
      </c>
      <c r="F4" s="407" t="s">
        <v>11</v>
      </c>
      <c r="G4" s="685"/>
      <c r="H4" s="685"/>
      <c r="I4" s="685"/>
      <c r="J4" s="685"/>
      <c r="K4" s="686"/>
      <c r="L4" s="59" t="s">
        <v>13</v>
      </c>
      <c r="M4" s="60" t="s">
        <v>14</v>
      </c>
      <c r="O4" s="182"/>
      <c r="P4" s="182"/>
      <c r="Q4" s="61" t="s">
        <v>13</v>
      </c>
      <c r="R4" s="183" t="s">
        <v>14</v>
      </c>
      <c r="S4" s="182"/>
    </row>
    <row r="5" spans="1:19" s="13" customFormat="1" ht="12" customHeight="1" x14ac:dyDescent="0.2">
      <c r="A5" s="661"/>
      <c r="B5" s="379" t="s">
        <v>17</v>
      </c>
      <c r="C5" s="379"/>
      <c r="D5" s="374" t="s">
        <v>18</v>
      </c>
      <c r="E5" s="564">
        <v>94</v>
      </c>
      <c r="F5" s="687" t="s">
        <v>78</v>
      </c>
      <c r="G5" s="441"/>
      <c r="H5" s="441"/>
      <c r="I5" s="441"/>
      <c r="J5" s="688"/>
      <c r="K5" s="704"/>
      <c r="L5" s="493">
        <v>1</v>
      </c>
      <c r="M5" s="702">
        <f>L5*K5</f>
        <v>0</v>
      </c>
      <c r="O5" s="182"/>
      <c r="P5" s="182"/>
      <c r="Q5" s="61"/>
      <c r="R5" s="183"/>
      <c r="S5" s="182"/>
    </row>
    <row r="6" spans="1:19" s="13" customFormat="1" ht="12" customHeight="1" x14ac:dyDescent="0.2">
      <c r="A6" s="661"/>
      <c r="B6" s="379"/>
      <c r="C6" s="379"/>
      <c r="D6" s="374"/>
      <c r="E6" s="398"/>
      <c r="F6" s="652"/>
      <c r="G6" s="442"/>
      <c r="H6" s="442"/>
      <c r="I6" s="442"/>
      <c r="J6" s="653"/>
      <c r="K6" s="654"/>
      <c r="L6" s="557"/>
      <c r="M6" s="703"/>
      <c r="O6" s="182"/>
      <c r="P6" s="182"/>
      <c r="Q6" s="61"/>
      <c r="R6" s="183"/>
      <c r="S6" s="182"/>
    </row>
    <row r="7" spans="1:19" s="13" customFormat="1" ht="12" customHeight="1" x14ac:dyDescent="0.2">
      <c r="A7" s="661"/>
      <c r="B7" s="395" t="s">
        <v>21</v>
      </c>
      <c r="C7" s="395"/>
      <c r="D7" s="374" t="s">
        <v>22</v>
      </c>
      <c r="E7" s="398">
        <v>95</v>
      </c>
      <c r="F7" s="649" t="s">
        <v>79</v>
      </c>
      <c r="G7" s="650"/>
      <c r="H7" s="650"/>
      <c r="I7" s="650"/>
      <c r="J7" s="618"/>
      <c r="K7" s="654"/>
      <c r="L7" s="557">
        <v>1</v>
      </c>
      <c r="M7" s="689">
        <f>L7*K7</f>
        <v>0</v>
      </c>
      <c r="O7" s="182"/>
      <c r="P7" s="182"/>
      <c r="Q7" s="61"/>
      <c r="R7" s="183"/>
      <c r="S7" s="182"/>
    </row>
    <row r="8" spans="1:19" s="13" customFormat="1" ht="12" customHeight="1" thickBot="1" x14ac:dyDescent="0.25">
      <c r="A8" s="661"/>
      <c r="B8" s="395"/>
      <c r="C8" s="395"/>
      <c r="D8" s="374"/>
      <c r="E8" s="398"/>
      <c r="F8" s="649"/>
      <c r="G8" s="650"/>
      <c r="H8" s="650"/>
      <c r="I8" s="650"/>
      <c r="J8" s="618"/>
      <c r="K8" s="655"/>
      <c r="L8" s="494"/>
      <c r="M8" s="690"/>
      <c r="O8" s="445">
        <f>TRUNC(P8,2)</f>
        <v>0</v>
      </c>
      <c r="P8" s="445">
        <f>(I7+I8)/2</f>
        <v>0</v>
      </c>
      <c r="Q8" s="445"/>
      <c r="R8" s="446">
        <f>O8*L5</f>
        <v>0</v>
      </c>
      <c r="S8" s="182"/>
    </row>
    <row r="9" spans="1:19" s="13" customFormat="1" ht="12" customHeight="1" x14ac:dyDescent="0.2">
      <c r="A9" s="661"/>
      <c r="B9" s="395"/>
      <c r="C9" s="395"/>
      <c r="D9" s="374"/>
      <c r="E9" s="461">
        <v>99</v>
      </c>
      <c r="F9" s="643" t="s">
        <v>71</v>
      </c>
      <c r="G9" s="706"/>
      <c r="H9" s="706"/>
      <c r="I9" s="706"/>
      <c r="J9" s="644"/>
      <c r="K9" s="645"/>
      <c r="L9" s="707"/>
      <c r="M9" s="691">
        <f>SUM(M5:M8)</f>
        <v>0</v>
      </c>
      <c r="O9" s="445"/>
      <c r="P9" s="445"/>
      <c r="Q9" s="445"/>
      <c r="R9" s="446"/>
      <c r="S9" s="182"/>
    </row>
    <row r="10" spans="1:19" s="13" customFormat="1" ht="12" customHeight="1" thickBot="1" x14ac:dyDescent="0.25">
      <c r="A10" s="693"/>
      <c r="B10" s="387" t="s">
        <v>26</v>
      </c>
      <c r="C10" s="387" t="s">
        <v>27</v>
      </c>
      <c r="D10" s="390" t="s">
        <v>28</v>
      </c>
      <c r="E10" s="572"/>
      <c r="F10" s="708"/>
      <c r="G10" s="709"/>
      <c r="H10" s="709"/>
      <c r="I10" s="709"/>
      <c r="J10" s="645"/>
      <c r="K10" s="645"/>
      <c r="L10" s="710"/>
      <c r="M10" s="692"/>
      <c r="O10" s="445">
        <f>TRUNC(P10,2)</f>
        <v>0</v>
      </c>
      <c r="P10" s="445">
        <f>(I11+I12)/2</f>
        <v>0</v>
      </c>
      <c r="Q10" s="199"/>
      <c r="R10" s="446">
        <f>O10*L9</f>
        <v>0</v>
      </c>
      <c r="S10" s="182"/>
    </row>
    <row r="11" spans="1:19" s="13" customFormat="1" ht="12" customHeight="1" x14ac:dyDescent="0.2">
      <c r="A11" s="694"/>
      <c r="B11" s="388"/>
      <c r="C11" s="388"/>
      <c r="D11" s="391"/>
      <c r="E11" s="711" t="s">
        <v>153</v>
      </c>
      <c r="F11" s="712"/>
      <c r="G11" s="712"/>
      <c r="H11" s="713" t="str">
        <f>S39</f>
        <v/>
      </c>
      <c r="I11" s="714"/>
      <c r="J11" s="714"/>
      <c r="K11" s="714"/>
      <c r="L11" s="714"/>
      <c r="M11" s="715"/>
      <c r="O11" s="445"/>
      <c r="P11" s="445"/>
      <c r="Q11" s="199"/>
      <c r="R11" s="446"/>
      <c r="S11" s="182"/>
    </row>
    <row r="12" spans="1:19" s="13" customFormat="1" ht="12" customHeight="1" thickBot="1" x14ac:dyDescent="0.25">
      <c r="A12" s="694"/>
      <c r="B12" s="388"/>
      <c r="C12" s="388"/>
      <c r="D12" s="391"/>
      <c r="E12" s="174"/>
      <c r="F12" s="175"/>
      <c r="G12" s="175"/>
      <c r="H12" s="716"/>
      <c r="I12" s="716"/>
      <c r="J12" s="716"/>
      <c r="K12" s="716"/>
      <c r="L12" s="716"/>
      <c r="M12" s="717"/>
      <c r="O12" s="445">
        <f>TRUNC(P12,2)</f>
        <v>0</v>
      </c>
      <c r="P12" s="445">
        <f>(I16+I17)/2</f>
        <v>0</v>
      </c>
      <c r="Q12" s="199"/>
      <c r="R12" s="446">
        <f>O12*L16</f>
        <v>0</v>
      </c>
      <c r="S12" s="182"/>
    </row>
    <row r="13" spans="1:19" s="13" customFormat="1" ht="12" customHeight="1" x14ac:dyDescent="0.2">
      <c r="A13" s="694"/>
      <c r="B13" s="389"/>
      <c r="C13" s="389"/>
      <c r="D13" s="392"/>
      <c r="E13" s="4" t="s">
        <v>5</v>
      </c>
      <c r="F13" s="404" t="s">
        <v>6</v>
      </c>
      <c r="G13" s="683"/>
      <c r="H13" s="683"/>
      <c r="I13" s="683"/>
      <c r="J13" s="683"/>
      <c r="K13" s="684"/>
      <c r="L13" s="56" t="s">
        <v>8</v>
      </c>
      <c r="M13" s="57" t="s">
        <v>9</v>
      </c>
      <c r="O13" s="445"/>
      <c r="P13" s="445"/>
      <c r="Q13" s="199"/>
      <c r="R13" s="446"/>
      <c r="S13" s="182"/>
    </row>
    <row r="14" spans="1:19" s="13" customFormat="1" ht="12" customHeight="1" x14ac:dyDescent="0.2">
      <c r="A14" s="118"/>
      <c r="B14" s="64"/>
      <c r="C14" s="64"/>
      <c r="D14" s="65"/>
      <c r="E14" s="698" t="s">
        <v>10</v>
      </c>
      <c r="F14" s="407" t="s">
        <v>11</v>
      </c>
      <c r="G14" s="685"/>
      <c r="H14" s="685"/>
      <c r="I14" s="685"/>
      <c r="J14" s="685"/>
      <c r="K14" s="685"/>
      <c r="L14" s="407" t="s">
        <v>13</v>
      </c>
      <c r="M14" s="700" t="s">
        <v>14</v>
      </c>
      <c r="O14" s="445">
        <f>TRUNC(P14,2)</f>
        <v>0</v>
      </c>
      <c r="P14" s="445">
        <f>(I20+I21)/2</f>
        <v>0</v>
      </c>
      <c r="Q14" s="90"/>
      <c r="R14" s="446">
        <f>O14*L15</f>
        <v>0</v>
      </c>
      <c r="S14" s="242"/>
    </row>
    <row r="15" spans="1:19" s="13" customFormat="1" ht="12" customHeight="1" thickBot="1" x14ac:dyDescent="0.25">
      <c r="A15" s="675"/>
      <c r="B15" s="379" t="s">
        <v>37</v>
      </c>
      <c r="C15" s="379"/>
      <c r="D15" s="374" t="s">
        <v>38</v>
      </c>
      <c r="E15" s="699"/>
      <c r="F15" s="697"/>
      <c r="G15" s="623"/>
      <c r="H15" s="623"/>
      <c r="I15" s="623"/>
      <c r="J15" s="623"/>
      <c r="K15" s="623"/>
      <c r="L15" s="697"/>
      <c r="M15" s="701"/>
      <c r="O15" s="445"/>
      <c r="P15" s="445"/>
      <c r="Q15" s="453"/>
      <c r="R15" s="446"/>
      <c r="S15" s="182"/>
    </row>
    <row r="16" spans="1:19" s="13" customFormat="1" ht="7.5" customHeight="1" x14ac:dyDescent="0.2">
      <c r="A16" s="676"/>
      <c r="B16" s="379"/>
      <c r="C16" s="379"/>
      <c r="D16" s="374"/>
      <c r="E16" s="635" t="s">
        <v>80</v>
      </c>
      <c r="F16" s="636"/>
      <c r="G16" s="636"/>
      <c r="H16" s="636"/>
      <c r="I16" s="636"/>
      <c r="J16" s="636"/>
      <c r="K16" s="636"/>
      <c r="L16" s="636"/>
      <c r="M16" s="637"/>
      <c r="O16" s="202">
        <f>TRUNC(P16,2)</f>
        <v>0</v>
      </c>
      <c r="P16" s="202">
        <f>I23</f>
        <v>0</v>
      </c>
      <c r="Q16" s="453"/>
      <c r="R16" s="202">
        <f>L22*P16</f>
        <v>0</v>
      </c>
      <c r="S16" s="182"/>
    </row>
    <row r="17" spans="1:20" s="13" customFormat="1" ht="7.5" customHeight="1" x14ac:dyDescent="0.2">
      <c r="A17" s="676"/>
      <c r="B17" s="379" t="s">
        <v>42</v>
      </c>
      <c r="C17" s="379" t="s">
        <v>43</v>
      </c>
      <c r="D17" s="374" t="s">
        <v>44</v>
      </c>
      <c r="E17" s="638"/>
      <c r="F17" s="639"/>
      <c r="G17" s="639"/>
      <c r="H17" s="639"/>
      <c r="I17" s="639"/>
      <c r="J17" s="639"/>
      <c r="K17" s="639"/>
      <c r="L17" s="639"/>
      <c r="M17" s="640"/>
      <c r="O17" s="445"/>
      <c r="P17" s="446"/>
      <c r="Q17" s="453"/>
      <c r="R17" s="446"/>
      <c r="S17" s="182"/>
    </row>
    <row r="18" spans="1:20" s="13" customFormat="1" ht="7.5" customHeight="1" thickBot="1" x14ac:dyDescent="0.25">
      <c r="A18" s="676"/>
      <c r="B18" s="379"/>
      <c r="C18" s="379"/>
      <c r="D18" s="374"/>
      <c r="E18" s="679"/>
      <c r="F18" s="680"/>
      <c r="G18" s="680"/>
      <c r="H18" s="680"/>
      <c r="I18" s="680"/>
      <c r="J18" s="680"/>
      <c r="K18" s="680"/>
      <c r="L18" s="680"/>
      <c r="M18" s="681"/>
      <c r="O18" s="445"/>
      <c r="P18" s="446"/>
      <c r="Q18" s="453"/>
      <c r="R18" s="446"/>
      <c r="S18" s="182"/>
    </row>
    <row r="19" spans="1:20" s="13" customFormat="1" ht="9" customHeight="1" x14ac:dyDescent="0.2">
      <c r="A19" s="677"/>
      <c r="B19" s="379"/>
      <c r="C19" s="379"/>
      <c r="D19" s="374"/>
      <c r="E19" s="572">
        <v>96</v>
      </c>
      <c r="F19" s="649" t="s">
        <v>81</v>
      </c>
      <c r="G19" s="650"/>
      <c r="H19" s="651"/>
      <c r="I19" s="672"/>
      <c r="J19" s="606"/>
      <c r="K19" s="705"/>
      <c r="L19" s="660">
        <v>1</v>
      </c>
      <c r="M19" s="641"/>
      <c r="O19" s="445"/>
      <c r="P19" s="446"/>
      <c r="Q19" s="453"/>
      <c r="R19" s="446"/>
      <c r="S19" s="182"/>
    </row>
    <row r="20" spans="1:20" s="13" customFormat="1" ht="9" customHeight="1" x14ac:dyDescent="0.2">
      <c r="A20" s="678" t="s">
        <v>143</v>
      </c>
      <c r="B20" s="379" t="s">
        <v>51</v>
      </c>
      <c r="C20" s="379"/>
      <c r="D20" s="374"/>
      <c r="E20" s="462"/>
      <c r="F20" s="652"/>
      <c r="G20" s="442"/>
      <c r="H20" s="653"/>
      <c r="I20" s="656"/>
      <c r="J20" s="360"/>
      <c r="K20" s="362"/>
      <c r="L20" s="682"/>
      <c r="M20" s="642"/>
      <c r="O20" s="199"/>
      <c r="P20" s="200"/>
      <c r="Q20" s="90"/>
      <c r="R20" s="200"/>
      <c r="S20" s="182"/>
    </row>
    <row r="21" spans="1:20" s="13" customFormat="1" ht="9" customHeight="1" x14ac:dyDescent="0.2">
      <c r="A21" s="678"/>
      <c r="B21" s="379"/>
      <c r="C21" s="379"/>
      <c r="D21" s="374"/>
      <c r="E21" s="461">
        <v>97</v>
      </c>
      <c r="F21" s="649" t="s">
        <v>82</v>
      </c>
      <c r="G21" s="650"/>
      <c r="H21" s="650"/>
      <c r="I21" s="656"/>
      <c r="J21" s="360"/>
      <c r="K21" s="362"/>
      <c r="L21" s="682"/>
      <c r="M21" s="642"/>
      <c r="O21" s="445"/>
      <c r="P21" s="446"/>
      <c r="Q21" s="453"/>
      <c r="R21" s="446"/>
      <c r="S21" s="182"/>
    </row>
    <row r="22" spans="1:20" s="13" customFormat="1" ht="15" customHeight="1" x14ac:dyDescent="0.2">
      <c r="A22" s="114" t="s">
        <v>144</v>
      </c>
      <c r="B22" s="67" t="s">
        <v>56</v>
      </c>
      <c r="C22" s="379"/>
      <c r="D22" s="374"/>
      <c r="E22" s="572"/>
      <c r="F22" s="649"/>
      <c r="G22" s="650"/>
      <c r="H22" s="650"/>
      <c r="I22" s="656"/>
      <c r="J22" s="360"/>
      <c r="K22" s="362"/>
      <c r="L22" s="682"/>
      <c r="M22" s="642"/>
      <c r="O22" s="445"/>
      <c r="P22" s="445"/>
      <c r="Q22" s="453"/>
      <c r="R22" s="446"/>
      <c r="S22" s="242"/>
    </row>
    <row r="23" spans="1:20" s="13" customFormat="1" ht="12" customHeight="1" thickBot="1" x14ac:dyDescent="0.25">
      <c r="A23" s="661"/>
      <c r="B23" s="368" t="s">
        <v>58</v>
      </c>
      <c r="C23" s="369"/>
      <c r="D23" s="374" t="s">
        <v>59</v>
      </c>
      <c r="E23" s="23">
        <v>83</v>
      </c>
      <c r="F23" s="647" t="s">
        <v>83</v>
      </c>
      <c r="G23" s="648"/>
      <c r="H23" s="648"/>
      <c r="I23" s="68"/>
      <c r="J23" s="695"/>
      <c r="K23" s="696"/>
      <c r="L23" s="69"/>
      <c r="M23" s="70"/>
      <c r="O23" s="85"/>
      <c r="P23" s="85"/>
      <c r="Q23" s="90"/>
      <c r="R23" s="187"/>
      <c r="S23" s="182"/>
    </row>
    <row r="24" spans="1:20" s="13" customFormat="1" ht="12" customHeight="1" thickBot="1" x14ac:dyDescent="0.25">
      <c r="A24" s="661"/>
      <c r="B24" s="370"/>
      <c r="C24" s="371"/>
      <c r="D24" s="374"/>
      <c r="E24" s="20">
        <v>99</v>
      </c>
      <c r="F24" s="643" t="s">
        <v>71</v>
      </c>
      <c r="G24" s="644"/>
      <c r="H24" s="644"/>
      <c r="I24" s="645"/>
      <c r="J24" s="644"/>
      <c r="K24" s="644"/>
      <c r="L24" s="646"/>
      <c r="M24" s="71"/>
      <c r="O24" s="85"/>
      <c r="P24" s="85"/>
      <c r="Q24" s="90"/>
      <c r="R24" s="187"/>
      <c r="S24" s="182"/>
    </row>
    <row r="25" spans="1:20" s="13" customFormat="1" ht="24" customHeight="1" thickBot="1" x14ac:dyDescent="0.25">
      <c r="A25" s="661"/>
      <c r="B25" s="370"/>
      <c r="C25" s="371"/>
      <c r="D25" s="374"/>
      <c r="E25" s="664" t="s">
        <v>67</v>
      </c>
      <c r="F25" s="665"/>
      <c r="G25" s="665"/>
      <c r="H25" s="665"/>
      <c r="I25" s="665"/>
      <c r="J25" s="665"/>
      <c r="K25" s="665"/>
      <c r="L25" s="665"/>
      <c r="M25" s="666"/>
      <c r="O25" s="85"/>
      <c r="P25" s="85"/>
      <c r="Q25" s="90"/>
      <c r="R25" s="205"/>
    </row>
    <row r="26" spans="1:20" ht="9" customHeight="1" x14ac:dyDescent="0.2">
      <c r="A26" s="661"/>
      <c r="B26" s="370"/>
      <c r="C26" s="371"/>
      <c r="D26" s="374"/>
      <c r="E26" s="635" t="s">
        <v>84</v>
      </c>
      <c r="F26" s="636"/>
      <c r="G26" s="636"/>
      <c r="H26" s="636"/>
      <c r="I26" s="636"/>
      <c r="J26" s="636"/>
      <c r="K26" s="636"/>
      <c r="L26" s="636"/>
      <c r="M26" s="637"/>
      <c r="O26" s="85"/>
      <c r="P26" s="199"/>
      <c r="Q26" s="199"/>
      <c r="R26" s="199"/>
      <c r="S26" s="182"/>
      <c r="T26" s="13"/>
    </row>
    <row r="27" spans="1:20" ht="9" customHeight="1" x14ac:dyDescent="0.2">
      <c r="A27" s="661"/>
      <c r="B27" s="370"/>
      <c r="C27" s="371"/>
      <c r="D27" s="374"/>
      <c r="E27" s="638"/>
      <c r="F27" s="639"/>
      <c r="G27" s="639"/>
      <c r="H27" s="639"/>
      <c r="I27" s="639"/>
      <c r="J27" s="639"/>
      <c r="K27" s="639"/>
      <c r="L27" s="639"/>
      <c r="M27" s="640"/>
      <c r="O27" s="85"/>
      <c r="P27" s="199" t="str">
        <f>IF(A2&gt;23.99,P33,"")</f>
        <v/>
      </c>
      <c r="Q27" s="199" t="str">
        <f>IF(A2&gt;24.49,Q33,"")</f>
        <v/>
      </c>
      <c r="R27" s="199" t="str">
        <f>IF(A2&gt;24.99,R33,"")</f>
        <v/>
      </c>
      <c r="S27" s="182"/>
      <c r="T27" s="13"/>
    </row>
    <row r="28" spans="1:20" ht="9" customHeight="1" thickBot="1" x14ac:dyDescent="0.25">
      <c r="A28" s="661"/>
      <c r="B28" s="370"/>
      <c r="C28" s="371"/>
      <c r="D28" s="374"/>
      <c r="E28" s="638"/>
      <c r="F28" s="639"/>
      <c r="G28" s="639"/>
      <c r="H28" s="639"/>
      <c r="I28" s="639"/>
      <c r="J28" s="639"/>
      <c r="K28" s="639"/>
      <c r="L28" s="639"/>
      <c r="M28" s="640"/>
      <c r="O28" s="85"/>
      <c r="P28" s="199"/>
      <c r="Q28" s="200">
        <f>MIN(P27,Q27,R27)</f>
        <v>0</v>
      </c>
      <c r="R28" s="199"/>
      <c r="S28" s="182"/>
      <c r="T28" s="13"/>
    </row>
    <row r="29" spans="1:20" ht="10.5" customHeight="1" x14ac:dyDescent="0.2">
      <c r="A29" s="661"/>
      <c r="B29" s="370"/>
      <c r="C29" s="371"/>
      <c r="D29" s="374"/>
      <c r="E29" s="634">
        <v>96</v>
      </c>
      <c r="F29" s="669" t="s">
        <v>81</v>
      </c>
      <c r="G29" s="670"/>
      <c r="H29" s="671"/>
      <c r="I29" s="672"/>
      <c r="J29" s="673"/>
      <c r="K29" s="674"/>
      <c r="L29" s="658"/>
      <c r="M29" s="657"/>
      <c r="O29" s="85"/>
      <c r="P29" s="201"/>
      <c r="Q29" s="201" t="str">
        <f>ROMAN(Q28)</f>
        <v/>
      </c>
      <c r="R29" s="201"/>
      <c r="S29" s="85"/>
      <c r="T29" s="13"/>
    </row>
    <row r="30" spans="1:20" ht="10.5" customHeight="1" x14ac:dyDescent="0.2">
      <c r="A30" s="661"/>
      <c r="B30" s="370"/>
      <c r="C30" s="371"/>
      <c r="D30" s="374"/>
      <c r="E30" s="462"/>
      <c r="F30" s="652"/>
      <c r="G30" s="442"/>
      <c r="H30" s="653"/>
      <c r="I30" s="656"/>
      <c r="J30" s="360"/>
      <c r="K30" s="362"/>
      <c r="L30" s="659"/>
      <c r="M30" s="642"/>
      <c r="O30" s="85"/>
      <c r="P30" s="199"/>
      <c r="Q30" s="199"/>
      <c r="R30" s="199"/>
      <c r="S30" s="182"/>
      <c r="T30" s="13"/>
    </row>
    <row r="31" spans="1:20" ht="10.5" customHeight="1" x14ac:dyDescent="0.2">
      <c r="A31" s="661"/>
      <c r="B31" s="370"/>
      <c r="C31" s="371"/>
      <c r="D31" s="374"/>
      <c r="E31" s="461">
        <v>97</v>
      </c>
      <c r="F31" s="649" t="s">
        <v>82</v>
      </c>
      <c r="G31" s="650"/>
      <c r="H31" s="650"/>
      <c r="I31" s="656"/>
      <c r="J31" s="360"/>
      <c r="K31" s="362"/>
      <c r="L31" s="659"/>
      <c r="M31" s="642"/>
      <c r="O31" s="182"/>
      <c r="P31" s="199"/>
      <c r="Q31" s="199"/>
      <c r="R31" s="199"/>
      <c r="S31" s="182"/>
      <c r="T31" s="13"/>
    </row>
    <row r="32" spans="1:20" ht="10.5" customHeight="1" x14ac:dyDescent="0.2">
      <c r="A32" s="661"/>
      <c r="B32" s="370"/>
      <c r="C32" s="371"/>
      <c r="D32" s="374"/>
      <c r="E32" s="572"/>
      <c r="F32" s="649"/>
      <c r="G32" s="650"/>
      <c r="H32" s="650"/>
      <c r="I32" s="656"/>
      <c r="J32" s="360"/>
      <c r="K32" s="362"/>
      <c r="L32" s="659"/>
      <c r="M32" s="642"/>
      <c r="P32" s="199"/>
      <c r="Q32" s="199"/>
      <c r="R32" s="199"/>
      <c r="S32" s="182"/>
    </row>
    <row r="33" spans="1:19" ht="10.5" customHeight="1" x14ac:dyDescent="0.2">
      <c r="A33" s="661"/>
      <c r="B33" s="372"/>
      <c r="C33" s="373"/>
      <c r="D33" s="374"/>
      <c r="E33" s="398">
        <v>98</v>
      </c>
      <c r="F33" s="375" t="s">
        <v>85</v>
      </c>
      <c r="G33" s="375"/>
      <c r="H33" s="376"/>
      <c r="I33" s="656"/>
      <c r="J33" s="360"/>
      <c r="K33" s="362"/>
      <c r="L33" s="659"/>
      <c r="M33" s="642"/>
      <c r="P33" s="199">
        <v>3</v>
      </c>
      <c r="Q33" s="199">
        <v>2</v>
      </c>
      <c r="R33" s="199">
        <v>1</v>
      </c>
      <c r="S33" s="182"/>
    </row>
    <row r="34" spans="1:19" ht="12.75" customHeight="1" x14ac:dyDescent="0.2">
      <c r="A34" s="523"/>
      <c r="B34" s="334" t="s">
        <v>68</v>
      </c>
      <c r="C34" s="334" t="s">
        <v>69</v>
      </c>
      <c r="D34" s="336" t="s">
        <v>70</v>
      </c>
      <c r="E34" s="398"/>
      <c r="F34" s="375"/>
      <c r="G34" s="375"/>
      <c r="H34" s="376"/>
      <c r="I34" s="656"/>
      <c r="J34" s="360"/>
      <c r="K34" s="362"/>
      <c r="L34" s="660"/>
      <c r="M34" s="642"/>
      <c r="P34" s="199"/>
      <c r="Q34" s="199"/>
      <c r="R34" s="199"/>
      <c r="S34" s="182"/>
    </row>
    <row r="35" spans="1:19" ht="12.75" customHeight="1" thickBot="1" x14ac:dyDescent="0.25">
      <c r="A35" s="523"/>
      <c r="B35" s="334"/>
      <c r="C35" s="334"/>
      <c r="D35" s="336"/>
      <c r="E35" s="72">
        <v>83</v>
      </c>
      <c r="F35" s="662" t="s">
        <v>83</v>
      </c>
      <c r="G35" s="662"/>
      <c r="H35" s="663"/>
      <c r="I35" s="73"/>
      <c r="J35" s="667"/>
      <c r="K35" s="668"/>
      <c r="L35" s="74"/>
      <c r="M35" s="75"/>
      <c r="P35" s="199"/>
      <c r="Q35" s="199"/>
      <c r="R35" s="199"/>
      <c r="S35" s="182"/>
    </row>
    <row r="36" spans="1:19" ht="12.75" customHeight="1" thickBot="1" x14ac:dyDescent="0.25">
      <c r="A36" s="523"/>
      <c r="B36" s="334"/>
      <c r="C36" s="334"/>
      <c r="D36" s="336"/>
      <c r="E36" s="44">
        <v>99</v>
      </c>
      <c r="F36" s="525" t="s">
        <v>71</v>
      </c>
      <c r="G36" s="526"/>
      <c r="H36" s="526"/>
      <c r="I36" s="526"/>
      <c r="J36" s="526"/>
      <c r="K36" s="526"/>
      <c r="L36" s="526"/>
      <c r="M36" s="76"/>
      <c r="P36" s="203" t="s">
        <v>146</v>
      </c>
      <c r="Q36" s="199"/>
      <c r="R36" s="199"/>
      <c r="S36" s="182" t="str">
        <f>(IF(Q28=3,P36,""))</f>
        <v/>
      </c>
    </row>
    <row r="37" spans="1:19" ht="12.75" customHeight="1" thickBot="1" x14ac:dyDescent="0.25">
      <c r="A37" s="523"/>
      <c r="B37" s="334"/>
      <c r="C37" s="334"/>
      <c r="D37" s="336"/>
      <c r="E37" s="664" t="s">
        <v>67</v>
      </c>
      <c r="F37" s="665"/>
      <c r="G37" s="665"/>
      <c r="H37" s="665"/>
      <c r="I37" s="665"/>
      <c r="J37" s="665"/>
      <c r="K37" s="665"/>
      <c r="L37" s="665"/>
      <c r="M37" s="666"/>
      <c r="P37" s="203" t="s">
        <v>147</v>
      </c>
      <c r="Q37" s="199"/>
      <c r="R37" s="199"/>
      <c r="S37" s="182" t="str">
        <f>(IF(Q28=2,P37,""))</f>
        <v/>
      </c>
    </row>
    <row r="38" spans="1:19" ht="12.75" customHeight="1" thickBot="1" x14ac:dyDescent="0.25">
      <c r="A38" s="523"/>
      <c r="B38" s="334"/>
      <c r="C38" s="334"/>
      <c r="D38" s="336"/>
      <c r="E38" s="44">
        <v>99</v>
      </c>
      <c r="F38" s="525" t="s">
        <v>71</v>
      </c>
      <c r="G38" s="526"/>
      <c r="H38" s="526"/>
      <c r="I38" s="526"/>
      <c r="J38" s="526"/>
      <c r="K38" s="526"/>
      <c r="L38" s="526"/>
      <c r="M38" s="76">
        <f>M9</f>
        <v>0</v>
      </c>
      <c r="P38" s="203" t="s">
        <v>190</v>
      </c>
      <c r="Q38" s="199"/>
      <c r="R38" s="199"/>
      <c r="S38" s="182" t="str">
        <f>(IF(Q28=1,P38,""))</f>
        <v/>
      </c>
    </row>
    <row r="39" spans="1:19" ht="25.5" customHeight="1" x14ac:dyDescent="0.2">
      <c r="A39" s="523"/>
      <c r="B39" s="334" t="s">
        <v>72</v>
      </c>
      <c r="C39" s="334"/>
      <c r="D39" s="336" t="s">
        <v>73</v>
      </c>
      <c r="E39" s="338" t="s">
        <v>191</v>
      </c>
      <c r="F39" s="339"/>
      <c r="G39" s="339"/>
      <c r="H39" s="340">
        <v>40589</v>
      </c>
      <c r="I39" s="341"/>
      <c r="J39" s="342" t="s">
        <v>214</v>
      </c>
      <c r="K39" s="518"/>
      <c r="L39" s="328"/>
      <c r="M39" s="329"/>
      <c r="N39" s="46"/>
      <c r="Q39" s="522"/>
      <c r="R39" s="522"/>
      <c r="S39" s="3" t="str">
        <f>CONCATENATE(S38,S37,S36)</f>
        <v/>
      </c>
    </row>
    <row r="40" spans="1:19" ht="10.5" customHeight="1" thickBot="1" x14ac:dyDescent="0.25">
      <c r="A40" s="527"/>
      <c r="B40" s="335"/>
      <c r="C40" s="335"/>
      <c r="D40" s="337"/>
      <c r="E40" s="521" t="s">
        <v>74</v>
      </c>
      <c r="F40" s="330"/>
      <c r="G40" s="330"/>
      <c r="H40" s="330" t="s">
        <v>75</v>
      </c>
      <c r="I40" s="330"/>
      <c r="J40" s="330" t="s">
        <v>76</v>
      </c>
      <c r="K40" s="330"/>
      <c r="L40" s="330" t="s">
        <v>77</v>
      </c>
      <c r="M40" s="331"/>
      <c r="N40" s="46"/>
      <c r="O40" s="195"/>
      <c r="P40" s="195"/>
      <c r="Q40" s="195"/>
      <c r="R40" s="196"/>
      <c r="S40" s="3"/>
    </row>
    <row r="41" spans="1:19" x14ac:dyDescent="0.2">
      <c r="E41" s="46"/>
      <c r="F41" s="46"/>
      <c r="G41" s="46"/>
      <c r="H41" s="46"/>
      <c r="J41" s="46"/>
      <c r="K41" s="51"/>
      <c r="L41" s="46"/>
      <c r="N41" s="46"/>
      <c r="O41" s="195"/>
      <c r="P41" s="195"/>
      <c r="Q41" s="195"/>
      <c r="R41" s="196"/>
      <c r="S41" s="3"/>
    </row>
    <row r="42" spans="1:19" ht="15.75" x14ac:dyDescent="0.2">
      <c r="E42" s="46"/>
      <c r="F42" s="46"/>
      <c r="G42" s="46"/>
      <c r="H42" s="46"/>
      <c r="J42" s="46"/>
      <c r="K42" s="51"/>
      <c r="L42" s="46"/>
      <c r="N42" s="46"/>
      <c r="R42" s="194"/>
    </row>
    <row r="43" spans="1:19" x14ac:dyDescent="0.2">
      <c r="E43" s="46"/>
      <c r="F43" s="46"/>
      <c r="G43" s="46"/>
      <c r="H43" s="46"/>
      <c r="J43" s="46"/>
      <c r="K43" s="51"/>
      <c r="L43" s="46"/>
      <c r="N43" s="46"/>
      <c r="Q43" s="422"/>
      <c r="R43" s="422"/>
    </row>
    <row r="44" spans="1:19" x14ac:dyDescent="0.2">
      <c r="E44" s="46"/>
      <c r="F44" s="46"/>
      <c r="G44" s="46"/>
      <c r="H44" s="46"/>
      <c r="J44" s="46"/>
      <c r="K44" s="51"/>
      <c r="L44" s="46"/>
      <c r="N44" s="46"/>
      <c r="Q44" s="522"/>
      <c r="R44" s="522"/>
    </row>
    <row r="45" spans="1:19" x14ac:dyDescent="0.2">
      <c r="E45" s="46"/>
      <c r="F45" s="46"/>
      <c r="G45" s="46"/>
      <c r="H45" s="46"/>
      <c r="J45" s="46"/>
      <c r="K45" s="51"/>
      <c r="L45" s="46"/>
      <c r="N45" s="46"/>
      <c r="O45" s="195"/>
      <c r="P45" s="195"/>
      <c r="Q45" s="195"/>
      <c r="R45" s="196"/>
    </row>
    <row r="46" spans="1:19" x14ac:dyDescent="0.2">
      <c r="E46" s="46"/>
      <c r="F46" s="46"/>
      <c r="G46" s="46"/>
      <c r="H46" s="46"/>
      <c r="J46" s="46"/>
      <c r="K46" s="51"/>
      <c r="L46" s="46"/>
      <c r="N46" s="46"/>
      <c r="O46" s="195"/>
      <c r="P46" s="195"/>
      <c r="Q46" s="195"/>
      <c r="R46" s="196"/>
    </row>
    <row r="47" spans="1:19" x14ac:dyDescent="0.2">
      <c r="E47" s="46"/>
      <c r="F47" s="46"/>
      <c r="G47" s="46"/>
      <c r="H47" s="46"/>
      <c r="J47" s="46"/>
      <c r="K47" s="51"/>
      <c r="L47" s="46"/>
      <c r="N47" s="46"/>
      <c r="O47" s="195"/>
      <c r="P47" s="195"/>
      <c r="Q47" s="195"/>
      <c r="R47" s="196"/>
    </row>
    <row r="48" spans="1:19" x14ac:dyDescent="0.2">
      <c r="E48" s="46"/>
      <c r="F48" s="46"/>
      <c r="G48" s="46"/>
      <c r="H48" s="46"/>
      <c r="J48" s="46"/>
      <c r="K48" s="51"/>
      <c r="L48" s="46"/>
      <c r="N48" s="46"/>
      <c r="O48" s="195"/>
      <c r="P48" s="195"/>
      <c r="Q48" s="195"/>
      <c r="R48" s="196"/>
    </row>
    <row r="49" spans="5:18" x14ac:dyDescent="0.2">
      <c r="E49" s="46"/>
      <c r="F49" s="46"/>
      <c r="G49" s="46"/>
      <c r="H49" s="46"/>
      <c r="J49" s="46"/>
      <c r="K49" s="51"/>
      <c r="L49" s="46"/>
      <c r="N49" s="46"/>
      <c r="O49" s="195"/>
      <c r="P49" s="195"/>
      <c r="Q49" s="195"/>
      <c r="R49" s="196"/>
    </row>
    <row r="50" spans="5:18" x14ac:dyDescent="0.2">
      <c r="E50" s="46"/>
      <c r="F50" s="46"/>
      <c r="G50" s="46"/>
      <c r="H50" s="46"/>
      <c r="J50" s="46"/>
      <c r="K50" s="51"/>
      <c r="L50" s="46"/>
      <c r="N50" s="46"/>
      <c r="O50" s="195"/>
      <c r="P50" s="195"/>
      <c r="Q50" s="195"/>
      <c r="R50" s="196"/>
    </row>
    <row r="51" spans="5:18" x14ac:dyDescent="0.2">
      <c r="E51" s="46"/>
      <c r="F51" s="46"/>
      <c r="G51" s="46"/>
      <c r="H51" s="46"/>
      <c r="J51" s="46"/>
      <c r="K51" s="51"/>
      <c r="L51" s="46"/>
      <c r="N51" s="46"/>
      <c r="O51" s="195"/>
      <c r="P51" s="195"/>
      <c r="Q51" s="195"/>
      <c r="R51" s="196"/>
    </row>
    <row r="52" spans="5:18" x14ac:dyDescent="0.2">
      <c r="E52" s="46"/>
      <c r="F52" s="46"/>
      <c r="G52" s="46"/>
      <c r="H52" s="46"/>
      <c r="J52" s="46"/>
      <c r="K52" s="51"/>
      <c r="L52" s="46"/>
      <c r="N52" s="46"/>
      <c r="O52" s="195"/>
      <c r="P52" s="195"/>
      <c r="Q52" s="195"/>
      <c r="R52" s="196"/>
    </row>
    <row r="53" spans="5:18" x14ac:dyDescent="0.2">
      <c r="E53" s="46"/>
      <c r="F53" s="46"/>
      <c r="G53" s="46"/>
      <c r="H53" s="46"/>
      <c r="J53" s="46"/>
      <c r="K53" s="51"/>
      <c r="L53" s="46"/>
      <c r="N53" s="46"/>
      <c r="O53" s="195"/>
      <c r="P53" s="195"/>
      <c r="Q53" s="195"/>
      <c r="R53" s="196"/>
    </row>
    <row r="54" spans="5:18" x14ac:dyDescent="0.2">
      <c r="E54" s="46"/>
      <c r="F54" s="46"/>
      <c r="G54" s="46"/>
      <c r="H54" s="46"/>
      <c r="J54" s="46"/>
      <c r="K54" s="51"/>
      <c r="L54" s="46"/>
      <c r="N54" s="46"/>
      <c r="O54" s="195"/>
      <c r="P54" s="195"/>
      <c r="Q54" s="195"/>
      <c r="R54" s="196"/>
    </row>
    <row r="55" spans="5:18" ht="25.5" customHeight="1" x14ac:dyDescent="0.2">
      <c r="E55" s="46"/>
      <c r="F55" s="46"/>
      <c r="G55" s="46"/>
      <c r="H55" s="46"/>
      <c r="J55" s="46"/>
      <c r="K55" s="51"/>
      <c r="L55" s="46"/>
      <c r="N55" s="46"/>
      <c r="O55" s="195"/>
      <c r="P55" s="195"/>
      <c r="Q55" s="195"/>
      <c r="R55" s="196"/>
    </row>
    <row r="56" spans="5:18" ht="27" customHeight="1" x14ac:dyDescent="0.2">
      <c r="E56" s="46"/>
      <c r="F56" s="46"/>
      <c r="G56" s="46"/>
      <c r="H56" s="46"/>
      <c r="J56" s="46"/>
      <c r="K56" s="51"/>
      <c r="L56" s="46"/>
      <c r="N56" s="46"/>
      <c r="O56" s="195"/>
      <c r="P56" s="195"/>
      <c r="Q56" s="195"/>
      <c r="R56" s="196"/>
    </row>
    <row r="57" spans="5:18" x14ac:dyDescent="0.2">
      <c r="O57" s="195"/>
      <c r="P57" s="195"/>
      <c r="Q57" s="195"/>
      <c r="R57" s="196"/>
    </row>
    <row r="58" spans="5:18" x14ac:dyDescent="0.2">
      <c r="O58" s="195"/>
      <c r="P58" s="195"/>
      <c r="Q58" s="195"/>
      <c r="R58" s="196"/>
    </row>
    <row r="59" spans="5:18" x14ac:dyDescent="0.2">
      <c r="O59" s="195"/>
      <c r="P59" s="195"/>
      <c r="Q59" s="195"/>
      <c r="R59" s="196"/>
    </row>
    <row r="60" spans="5:18" x14ac:dyDescent="0.2">
      <c r="O60" s="195"/>
      <c r="P60" s="195"/>
      <c r="Q60" s="195"/>
      <c r="R60" s="196"/>
    </row>
  </sheetData>
  <mergeCells count="124">
    <mergeCell ref="R12:R13"/>
    <mergeCell ref="R14:R15"/>
    <mergeCell ref="O14:O15"/>
    <mergeCell ref="Q21:Q22"/>
    <mergeCell ref="R21:R22"/>
    <mergeCell ref="B23:C33"/>
    <mergeCell ref="J33:K34"/>
    <mergeCell ref="F9:L10"/>
    <mergeCell ref="Q39:R39"/>
    <mergeCell ref="E11:G11"/>
    <mergeCell ref="H11:M12"/>
    <mergeCell ref="P8:P9"/>
    <mergeCell ref="R8:R9"/>
    <mergeCell ref="P14:P15"/>
    <mergeCell ref="P10:P11"/>
    <mergeCell ref="O8:O9"/>
    <mergeCell ref="O10:O11"/>
    <mergeCell ref="O12:O13"/>
    <mergeCell ref="F13:K13"/>
    <mergeCell ref="R17:R19"/>
    <mergeCell ref="O17:O19"/>
    <mergeCell ref="P17:P19"/>
    <mergeCell ref="Q17:Q19"/>
    <mergeCell ref="Q15:Q16"/>
    <mergeCell ref="P21:P22"/>
    <mergeCell ref="O21:O22"/>
    <mergeCell ref="E39:G39"/>
    <mergeCell ref="J23:K23"/>
    <mergeCell ref="F14:K15"/>
    <mergeCell ref="E14:E15"/>
    <mergeCell ref="M14:M15"/>
    <mergeCell ref="L14:L15"/>
    <mergeCell ref="M5:M6"/>
    <mergeCell ref="K5:K6"/>
    <mergeCell ref="L5:L6"/>
    <mergeCell ref="J19:K20"/>
    <mergeCell ref="J21:K22"/>
    <mergeCell ref="A2:A4"/>
    <mergeCell ref="B2:B4"/>
    <mergeCell ref="C2:C4"/>
    <mergeCell ref="D2:D4"/>
    <mergeCell ref="D7:D9"/>
    <mergeCell ref="B1:C1"/>
    <mergeCell ref="E1:M2"/>
    <mergeCell ref="F3:K3"/>
    <mergeCell ref="F4:K4"/>
    <mergeCell ref="F5:J6"/>
    <mergeCell ref="M7:M8"/>
    <mergeCell ref="A5:A6"/>
    <mergeCell ref="B5:C6"/>
    <mergeCell ref="D5:D6"/>
    <mergeCell ref="A7:A9"/>
    <mergeCell ref="E7:E8"/>
    <mergeCell ref="E5:E6"/>
    <mergeCell ref="B7:C9"/>
    <mergeCell ref="L7:L8"/>
    <mergeCell ref="E9:E10"/>
    <mergeCell ref="M9:M10"/>
    <mergeCell ref="A10:A13"/>
    <mergeCell ref="B10:B13"/>
    <mergeCell ref="C10:C13"/>
    <mergeCell ref="D10:D13"/>
    <mergeCell ref="A15:A19"/>
    <mergeCell ref="E21:E22"/>
    <mergeCell ref="F21:H22"/>
    <mergeCell ref="I19:I20"/>
    <mergeCell ref="I21:I22"/>
    <mergeCell ref="A20:A21"/>
    <mergeCell ref="B15:C16"/>
    <mergeCell ref="D15:D16"/>
    <mergeCell ref="B17:B19"/>
    <mergeCell ref="C17:C22"/>
    <mergeCell ref="D17:D22"/>
    <mergeCell ref="B20:B21"/>
    <mergeCell ref="E16:M18"/>
    <mergeCell ref="L19:L22"/>
    <mergeCell ref="A23:A33"/>
    <mergeCell ref="D23:D33"/>
    <mergeCell ref="F35:H35"/>
    <mergeCell ref="E33:E34"/>
    <mergeCell ref="H39:I39"/>
    <mergeCell ref="J39:K39"/>
    <mergeCell ref="L39:M39"/>
    <mergeCell ref="A39:A40"/>
    <mergeCell ref="B39:B40"/>
    <mergeCell ref="D39:D40"/>
    <mergeCell ref="A34:A38"/>
    <mergeCell ref="B34:B38"/>
    <mergeCell ref="C34:C40"/>
    <mergeCell ref="D34:D38"/>
    <mergeCell ref="F33:H34"/>
    <mergeCell ref="E31:E32"/>
    <mergeCell ref="E25:M25"/>
    <mergeCell ref="F38:L38"/>
    <mergeCell ref="F36:L36"/>
    <mergeCell ref="E37:M37"/>
    <mergeCell ref="J35:K35"/>
    <mergeCell ref="F29:H30"/>
    <mergeCell ref="I29:I30"/>
    <mergeCell ref="J29:K30"/>
    <mergeCell ref="Q44:R44"/>
    <mergeCell ref="E40:G40"/>
    <mergeCell ref="H40:I40"/>
    <mergeCell ref="J40:K40"/>
    <mergeCell ref="L40:M40"/>
    <mergeCell ref="E29:E30"/>
    <mergeCell ref="Q43:R43"/>
    <mergeCell ref="P12:P13"/>
    <mergeCell ref="Q8:Q9"/>
    <mergeCell ref="E26:M28"/>
    <mergeCell ref="M19:M22"/>
    <mergeCell ref="F24:L24"/>
    <mergeCell ref="F23:H23"/>
    <mergeCell ref="F7:J8"/>
    <mergeCell ref="E19:E20"/>
    <mergeCell ref="F19:H20"/>
    <mergeCell ref="K7:K8"/>
    <mergeCell ref="R10:R11"/>
    <mergeCell ref="F31:H32"/>
    <mergeCell ref="I31:I32"/>
    <mergeCell ref="J31:K32"/>
    <mergeCell ref="M29:M34"/>
    <mergeCell ref="L29:L34"/>
    <mergeCell ref="I33:I34"/>
  </mergeCells>
  <phoneticPr fontId="0" type="noConversion"/>
  <printOptions verticalCentered="1"/>
  <pageMargins left="0.19685039370078741" right="0.19685039370078741" top="0.39370078740157483" bottom="0.39370078740157483" header="0.51181102362204722" footer="0.51181102362204722"/>
  <pageSetup orientation="landscape" verticalDpi="4294967295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0"/>
  <sheetViews>
    <sheetView workbookViewId="0">
      <selection activeCell="H11" sqref="H11:M12"/>
    </sheetView>
  </sheetViews>
  <sheetFormatPr defaultRowHeight="12.75" x14ac:dyDescent="0.2"/>
  <cols>
    <col min="1" max="1" width="3.42578125" style="47" customWidth="1"/>
    <col min="2" max="3" width="2" style="77" customWidth="1"/>
    <col min="4" max="4" width="2" style="78" customWidth="1"/>
    <col min="5" max="5" width="4.28515625" style="52" customWidth="1"/>
    <col min="6" max="6" width="3.140625" style="3" customWidth="1"/>
    <col min="7" max="7" width="9.28515625" style="3" customWidth="1"/>
    <col min="8" max="8" width="5.140625" style="3" customWidth="1"/>
    <col min="9" max="9" width="6.42578125" style="50" customWidth="1"/>
    <col min="10" max="10" width="13" style="3" customWidth="1"/>
    <col min="11" max="11" width="5.42578125" style="53" customWidth="1"/>
    <col min="12" max="12" width="5.140625" style="3" customWidth="1"/>
    <col min="13" max="13" width="6.42578125" style="79" customWidth="1"/>
    <col min="14" max="14" width="9.140625" style="122"/>
    <col min="15" max="16" width="8.28515625" style="122" hidden="1" customWidth="1"/>
    <col min="17" max="17" width="8.7109375" style="122" hidden="1" customWidth="1"/>
    <col min="18" max="18" width="8.28515625" style="197" hidden="1" customWidth="1"/>
    <col min="19" max="20" width="0" style="122" hidden="1" customWidth="1"/>
    <col min="21" max="16384" width="9.140625" style="3"/>
  </cols>
  <sheetData>
    <row r="1" spans="1:20" s="1" customFormat="1" ht="18.75" customHeight="1" x14ac:dyDescent="0.2">
      <c r="A1" s="119"/>
      <c r="B1" s="409" t="s">
        <v>0</v>
      </c>
      <c r="C1" s="409"/>
      <c r="D1" s="55" t="s">
        <v>1</v>
      </c>
      <c r="E1" s="635" t="s">
        <v>151</v>
      </c>
      <c r="F1" s="636"/>
      <c r="G1" s="636"/>
      <c r="H1" s="636"/>
      <c r="I1" s="636"/>
      <c r="J1" s="636"/>
      <c r="K1" s="636"/>
      <c r="L1" s="636"/>
      <c r="M1" s="637"/>
      <c r="N1" s="121"/>
      <c r="O1" s="121"/>
      <c r="P1" s="121"/>
      <c r="Q1" s="121"/>
      <c r="R1" s="121"/>
      <c r="S1" s="121"/>
      <c r="T1" s="121"/>
    </row>
    <row r="2" spans="1:20" ht="18.75" customHeight="1" thickBot="1" x14ac:dyDescent="0.25">
      <c r="A2" s="427">
        <f>M9</f>
        <v>0</v>
      </c>
      <c r="B2" s="415" t="s">
        <v>2</v>
      </c>
      <c r="C2" s="417"/>
      <c r="D2" s="419" t="s">
        <v>3</v>
      </c>
      <c r="E2" s="679"/>
      <c r="F2" s="680"/>
      <c r="G2" s="680"/>
      <c r="H2" s="680"/>
      <c r="I2" s="680"/>
      <c r="J2" s="680"/>
      <c r="K2" s="680"/>
      <c r="L2" s="680"/>
      <c r="M2" s="681"/>
      <c r="R2" s="122"/>
    </row>
    <row r="3" spans="1:20" s="7" customFormat="1" ht="11.25" customHeight="1" x14ac:dyDescent="0.2">
      <c r="A3" s="570"/>
      <c r="B3" s="416"/>
      <c r="C3" s="418"/>
      <c r="D3" s="420"/>
      <c r="E3" s="4" t="s">
        <v>5</v>
      </c>
      <c r="F3" s="404" t="s">
        <v>6</v>
      </c>
      <c r="G3" s="683"/>
      <c r="H3" s="683"/>
      <c r="I3" s="683"/>
      <c r="J3" s="683"/>
      <c r="K3" s="684"/>
      <c r="L3" s="56" t="s">
        <v>8</v>
      </c>
      <c r="M3" s="57" t="s">
        <v>9</v>
      </c>
      <c r="N3" s="178"/>
      <c r="O3" s="178"/>
      <c r="P3" s="178"/>
      <c r="Q3" s="178" t="s">
        <v>8</v>
      </c>
      <c r="R3" s="179" t="s">
        <v>9</v>
      </c>
      <c r="S3" s="178"/>
      <c r="T3" s="178"/>
    </row>
    <row r="4" spans="1:20" s="13" customFormat="1" ht="18.75" customHeight="1" thickBot="1" x14ac:dyDescent="0.25">
      <c r="A4" s="570"/>
      <c r="B4" s="416"/>
      <c r="C4" s="418"/>
      <c r="D4" s="420"/>
      <c r="E4" s="58" t="s">
        <v>10</v>
      </c>
      <c r="F4" s="407" t="s">
        <v>11</v>
      </c>
      <c r="G4" s="685"/>
      <c r="H4" s="685"/>
      <c r="I4" s="685"/>
      <c r="J4" s="685"/>
      <c r="K4" s="686"/>
      <c r="L4" s="59" t="s">
        <v>13</v>
      </c>
      <c r="M4" s="60" t="s">
        <v>14</v>
      </c>
      <c r="N4" s="182"/>
      <c r="O4" s="182"/>
      <c r="P4" s="182"/>
      <c r="Q4" s="61" t="s">
        <v>13</v>
      </c>
      <c r="R4" s="183" t="s">
        <v>14</v>
      </c>
      <c r="S4" s="182"/>
      <c r="T4" s="182"/>
    </row>
    <row r="5" spans="1:20" s="13" customFormat="1" ht="12" customHeight="1" x14ac:dyDescent="0.2">
      <c r="A5" s="661"/>
      <c r="B5" s="379" t="s">
        <v>17</v>
      </c>
      <c r="C5" s="379"/>
      <c r="D5" s="374" t="s">
        <v>18</v>
      </c>
      <c r="E5" s="564">
        <v>94</v>
      </c>
      <c r="F5" s="687" t="s">
        <v>78</v>
      </c>
      <c r="G5" s="441"/>
      <c r="H5" s="441"/>
      <c r="I5" s="441"/>
      <c r="J5" s="688"/>
      <c r="K5" s="704"/>
      <c r="L5" s="493">
        <v>1</v>
      </c>
      <c r="M5" s="702">
        <f>L5*K5</f>
        <v>0</v>
      </c>
      <c r="N5" s="182"/>
      <c r="O5" s="182"/>
      <c r="P5" s="182"/>
      <c r="Q5" s="61"/>
      <c r="R5" s="183"/>
      <c r="S5" s="182"/>
      <c r="T5" s="182"/>
    </row>
    <row r="6" spans="1:20" s="13" customFormat="1" ht="12" customHeight="1" x14ac:dyDescent="0.2">
      <c r="A6" s="661"/>
      <c r="B6" s="379"/>
      <c r="C6" s="379"/>
      <c r="D6" s="374"/>
      <c r="E6" s="398"/>
      <c r="F6" s="652"/>
      <c r="G6" s="442"/>
      <c r="H6" s="442"/>
      <c r="I6" s="442"/>
      <c r="J6" s="653"/>
      <c r="K6" s="654"/>
      <c r="L6" s="557"/>
      <c r="M6" s="703"/>
      <c r="N6" s="182"/>
      <c r="O6" s="182"/>
      <c r="P6" s="182"/>
      <c r="Q6" s="61"/>
      <c r="R6" s="183"/>
      <c r="S6" s="182"/>
      <c r="T6" s="182"/>
    </row>
    <row r="7" spans="1:20" s="13" customFormat="1" ht="12" customHeight="1" x14ac:dyDescent="0.2">
      <c r="A7" s="661"/>
      <c r="B7" s="395" t="s">
        <v>21</v>
      </c>
      <c r="C7" s="395"/>
      <c r="D7" s="374" t="s">
        <v>22</v>
      </c>
      <c r="E7" s="398">
        <v>95</v>
      </c>
      <c r="F7" s="649" t="s">
        <v>79</v>
      </c>
      <c r="G7" s="650"/>
      <c r="H7" s="650"/>
      <c r="I7" s="650"/>
      <c r="J7" s="618"/>
      <c r="K7" s="654"/>
      <c r="L7" s="557">
        <v>1</v>
      </c>
      <c r="M7" s="689">
        <f>L7*K7</f>
        <v>0</v>
      </c>
      <c r="N7" s="182"/>
      <c r="O7" s="182"/>
      <c r="P7" s="182"/>
      <c r="Q7" s="61"/>
      <c r="R7" s="183"/>
      <c r="S7" s="182"/>
      <c r="T7" s="182"/>
    </row>
    <row r="8" spans="1:20" s="13" customFormat="1" ht="12" customHeight="1" thickBot="1" x14ac:dyDescent="0.25">
      <c r="A8" s="661"/>
      <c r="B8" s="395"/>
      <c r="C8" s="395"/>
      <c r="D8" s="374"/>
      <c r="E8" s="398"/>
      <c r="F8" s="649"/>
      <c r="G8" s="650"/>
      <c r="H8" s="650"/>
      <c r="I8" s="650"/>
      <c r="J8" s="618"/>
      <c r="K8" s="655"/>
      <c r="L8" s="494"/>
      <c r="M8" s="690"/>
      <c r="N8" s="182"/>
      <c r="O8" s="445">
        <f>TRUNC(P8,2)</f>
        <v>0</v>
      </c>
      <c r="P8" s="445">
        <f>(I7+I8)/2</f>
        <v>0</v>
      </c>
      <c r="Q8" s="445"/>
      <c r="R8" s="446">
        <f>O8*L5</f>
        <v>0</v>
      </c>
      <c r="S8" s="182"/>
      <c r="T8" s="182"/>
    </row>
    <row r="9" spans="1:20" s="13" customFormat="1" ht="12" customHeight="1" x14ac:dyDescent="0.2">
      <c r="A9" s="661"/>
      <c r="B9" s="395"/>
      <c r="C9" s="395"/>
      <c r="D9" s="374"/>
      <c r="E9" s="461">
        <v>99</v>
      </c>
      <c r="F9" s="643" t="s">
        <v>71</v>
      </c>
      <c r="G9" s="706"/>
      <c r="H9" s="706"/>
      <c r="I9" s="706"/>
      <c r="J9" s="644"/>
      <c r="K9" s="645"/>
      <c r="L9" s="707"/>
      <c r="M9" s="691">
        <f>SUM(M5:M8)</f>
        <v>0</v>
      </c>
      <c r="N9" s="182"/>
      <c r="O9" s="445"/>
      <c r="P9" s="445"/>
      <c r="Q9" s="445"/>
      <c r="R9" s="446"/>
      <c r="S9" s="182"/>
      <c r="T9" s="182"/>
    </row>
    <row r="10" spans="1:20" s="13" customFormat="1" ht="12" customHeight="1" thickBot="1" x14ac:dyDescent="0.25">
      <c r="A10" s="693"/>
      <c r="B10" s="387" t="s">
        <v>26</v>
      </c>
      <c r="C10" s="387" t="s">
        <v>27</v>
      </c>
      <c r="D10" s="390" t="s">
        <v>28</v>
      </c>
      <c r="E10" s="572"/>
      <c r="F10" s="708"/>
      <c r="G10" s="709"/>
      <c r="H10" s="709"/>
      <c r="I10" s="709"/>
      <c r="J10" s="645"/>
      <c r="K10" s="645"/>
      <c r="L10" s="710"/>
      <c r="M10" s="692"/>
      <c r="N10" s="182"/>
      <c r="O10" s="445">
        <f>TRUNC(P10,2)</f>
        <v>0</v>
      </c>
      <c r="P10" s="445">
        <f>(I11+I12)/2</f>
        <v>0</v>
      </c>
      <c r="Q10" s="199"/>
      <c r="R10" s="446">
        <f>O10*L9</f>
        <v>0</v>
      </c>
      <c r="S10" s="182"/>
      <c r="T10" s="182"/>
    </row>
    <row r="11" spans="1:20" s="13" customFormat="1" ht="12" customHeight="1" x14ac:dyDescent="0.2">
      <c r="A11" s="694"/>
      <c r="B11" s="388"/>
      <c r="C11" s="388"/>
      <c r="D11" s="391"/>
      <c r="E11" s="711" t="s">
        <v>150</v>
      </c>
      <c r="F11" s="712"/>
      <c r="G11" s="712"/>
      <c r="H11" s="718" t="str">
        <f>S39</f>
        <v/>
      </c>
      <c r="I11" s="719"/>
      <c r="J11" s="719"/>
      <c r="K11" s="719"/>
      <c r="L11" s="719"/>
      <c r="M11" s="720"/>
      <c r="N11" s="182"/>
      <c r="O11" s="445"/>
      <c r="P11" s="445"/>
      <c r="Q11" s="199"/>
      <c r="R11" s="446"/>
      <c r="S11" s="182"/>
      <c r="T11" s="182"/>
    </row>
    <row r="12" spans="1:20" s="13" customFormat="1" ht="12" customHeight="1" thickBot="1" x14ac:dyDescent="0.25">
      <c r="A12" s="694"/>
      <c r="B12" s="388"/>
      <c r="C12" s="388"/>
      <c r="D12" s="391"/>
      <c r="E12" s="174"/>
      <c r="F12" s="175"/>
      <c r="G12" s="175"/>
      <c r="H12" s="721"/>
      <c r="I12" s="721"/>
      <c r="J12" s="721"/>
      <c r="K12" s="721"/>
      <c r="L12" s="721"/>
      <c r="M12" s="722"/>
      <c r="N12" s="182"/>
      <c r="O12" s="445">
        <f>TRUNC(P12,2)</f>
        <v>0</v>
      </c>
      <c r="P12" s="445">
        <f>(I16+I17)/2</f>
        <v>0</v>
      </c>
      <c r="Q12" s="199"/>
      <c r="R12" s="446">
        <f>O12*L16</f>
        <v>0</v>
      </c>
      <c r="S12" s="182"/>
      <c r="T12" s="182"/>
    </row>
    <row r="13" spans="1:20" s="13" customFormat="1" ht="12" customHeight="1" x14ac:dyDescent="0.2">
      <c r="A13" s="694"/>
      <c r="B13" s="389"/>
      <c r="C13" s="389"/>
      <c r="D13" s="392"/>
      <c r="E13" s="4" t="s">
        <v>5</v>
      </c>
      <c r="F13" s="404" t="s">
        <v>6</v>
      </c>
      <c r="G13" s="683"/>
      <c r="H13" s="683"/>
      <c r="I13" s="683"/>
      <c r="J13" s="683"/>
      <c r="K13" s="684"/>
      <c r="L13" s="56" t="s">
        <v>8</v>
      </c>
      <c r="M13" s="57" t="s">
        <v>9</v>
      </c>
      <c r="N13" s="182"/>
      <c r="O13" s="445"/>
      <c r="P13" s="445"/>
      <c r="Q13" s="199"/>
      <c r="R13" s="446"/>
      <c r="S13" s="182"/>
      <c r="T13" s="182"/>
    </row>
    <row r="14" spans="1:20" s="13" customFormat="1" ht="12" customHeight="1" x14ac:dyDescent="0.2">
      <c r="A14" s="118"/>
      <c r="B14" s="64"/>
      <c r="C14" s="64"/>
      <c r="D14" s="65"/>
      <c r="E14" s="698" t="s">
        <v>10</v>
      </c>
      <c r="F14" s="407" t="s">
        <v>11</v>
      </c>
      <c r="G14" s="685"/>
      <c r="H14" s="685"/>
      <c r="I14" s="685"/>
      <c r="J14" s="685"/>
      <c r="K14" s="685"/>
      <c r="L14" s="407" t="s">
        <v>13</v>
      </c>
      <c r="M14" s="700" t="s">
        <v>14</v>
      </c>
      <c r="N14" s="182"/>
      <c r="O14" s="445">
        <f>TRUNC(P14,2)</f>
        <v>0</v>
      </c>
      <c r="P14" s="445">
        <f>(I20+I21)/2</f>
        <v>0</v>
      </c>
      <c r="Q14" s="90"/>
      <c r="R14" s="446">
        <f>O14*L15</f>
        <v>0</v>
      </c>
      <c r="S14" s="242"/>
      <c r="T14" s="182"/>
    </row>
    <row r="15" spans="1:20" s="13" customFormat="1" ht="12" customHeight="1" thickBot="1" x14ac:dyDescent="0.25">
      <c r="A15" s="675"/>
      <c r="B15" s="379" t="s">
        <v>37</v>
      </c>
      <c r="C15" s="379"/>
      <c r="D15" s="374" t="s">
        <v>38</v>
      </c>
      <c r="E15" s="699"/>
      <c r="F15" s="697"/>
      <c r="G15" s="623"/>
      <c r="H15" s="623"/>
      <c r="I15" s="623"/>
      <c r="J15" s="623"/>
      <c r="K15" s="623"/>
      <c r="L15" s="697"/>
      <c r="M15" s="701"/>
      <c r="N15" s="182"/>
      <c r="O15" s="445"/>
      <c r="P15" s="445"/>
      <c r="Q15" s="453"/>
      <c r="R15" s="446"/>
      <c r="S15" s="182"/>
      <c r="T15" s="182"/>
    </row>
    <row r="16" spans="1:20" s="13" customFormat="1" ht="7.5" customHeight="1" x14ac:dyDescent="0.2">
      <c r="A16" s="676"/>
      <c r="B16" s="379"/>
      <c r="C16" s="379"/>
      <c r="D16" s="374"/>
      <c r="E16" s="635" t="s">
        <v>80</v>
      </c>
      <c r="F16" s="636"/>
      <c r="G16" s="636"/>
      <c r="H16" s="636"/>
      <c r="I16" s="636"/>
      <c r="J16" s="636"/>
      <c r="K16" s="636"/>
      <c r="L16" s="636"/>
      <c r="M16" s="637"/>
      <c r="N16" s="182"/>
      <c r="O16" s="202">
        <f>TRUNC(P16,2)</f>
        <v>0</v>
      </c>
      <c r="P16" s="202">
        <f>I23</f>
        <v>0</v>
      </c>
      <c r="Q16" s="453"/>
      <c r="R16" s="202">
        <f>L22*P16</f>
        <v>0</v>
      </c>
      <c r="S16" s="182"/>
      <c r="T16" s="182"/>
    </row>
    <row r="17" spans="1:20" s="13" customFormat="1" ht="7.5" customHeight="1" x14ac:dyDescent="0.2">
      <c r="A17" s="676"/>
      <c r="B17" s="379" t="s">
        <v>42</v>
      </c>
      <c r="C17" s="379" t="s">
        <v>43</v>
      </c>
      <c r="D17" s="374" t="s">
        <v>44</v>
      </c>
      <c r="E17" s="638"/>
      <c r="F17" s="639"/>
      <c r="G17" s="639"/>
      <c r="H17" s="639"/>
      <c r="I17" s="639"/>
      <c r="J17" s="639"/>
      <c r="K17" s="639"/>
      <c r="L17" s="639"/>
      <c r="M17" s="640"/>
      <c r="N17" s="182"/>
      <c r="O17" s="445"/>
      <c r="P17" s="446"/>
      <c r="Q17" s="453"/>
      <c r="R17" s="446"/>
      <c r="S17" s="182"/>
      <c r="T17" s="182"/>
    </row>
    <row r="18" spans="1:20" s="13" customFormat="1" ht="7.5" customHeight="1" thickBot="1" x14ac:dyDescent="0.25">
      <c r="A18" s="676"/>
      <c r="B18" s="379"/>
      <c r="C18" s="379"/>
      <c r="D18" s="374"/>
      <c r="E18" s="679"/>
      <c r="F18" s="680"/>
      <c r="G18" s="680"/>
      <c r="H18" s="680"/>
      <c r="I18" s="680"/>
      <c r="J18" s="680"/>
      <c r="K18" s="680"/>
      <c r="L18" s="680"/>
      <c r="M18" s="681"/>
      <c r="N18" s="182"/>
      <c r="O18" s="445"/>
      <c r="P18" s="446"/>
      <c r="Q18" s="453"/>
      <c r="R18" s="446"/>
      <c r="S18" s="182"/>
      <c r="T18" s="182"/>
    </row>
    <row r="19" spans="1:20" s="13" customFormat="1" ht="9" customHeight="1" x14ac:dyDescent="0.2">
      <c r="A19" s="677"/>
      <c r="B19" s="379"/>
      <c r="C19" s="379"/>
      <c r="D19" s="374"/>
      <c r="E19" s="572">
        <v>96</v>
      </c>
      <c r="F19" s="649" t="s">
        <v>81</v>
      </c>
      <c r="G19" s="650"/>
      <c r="H19" s="651"/>
      <c r="I19" s="672"/>
      <c r="J19" s="606"/>
      <c r="K19" s="705"/>
      <c r="L19" s="660">
        <v>1</v>
      </c>
      <c r="M19" s="641"/>
      <c r="N19" s="182"/>
      <c r="O19" s="445"/>
      <c r="P19" s="446"/>
      <c r="Q19" s="453"/>
      <c r="R19" s="446"/>
      <c r="S19" s="182"/>
      <c r="T19" s="182"/>
    </row>
    <row r="20" spans="1:20" s="13" customFormat="1" ht="9" customHeight="1" x14ac:dyDescent="0.2">
      <c r="A20" s="678" t="s">
        <v>143</v>
      </c>
      <c r="B20" s="379" t="s">
        <v>51</v>
      </c>
      <c r="C20" s="379"/>
      <c r="D20" s="374"/>
      <c r="E20" s="462"/>
      <c r="F20" s="652"/>
      <c r="G20" s="442"/>
      <c r="H20" s="653"/>
      <c r="I20" s="656"/>
      <c r="J20" s="360"/>
      <c r="K20" s="362"/>
      <c r="L20" s="682"/>
      <c r="M20" s="642"/>
      <c r="N20" s="182"/>
      <c r="O20" s="199"/>
      <c r="P20" s="200"/>
      <c r="Q20" s="90"/>
      <c r="R20" s="200"/>
      <c r="S20" s="182"/>
      <c r="T20" s="182"/>
    </row>
    <row r="21" spans="1:20" s="13" customFormat="1" ht="9" customHeight="1" x14ac:dyDescent="0.2">
      <c r="A21" s="678"/>
      <c r="B21" s="379"/>
      <c r="C21" s="379"/>
      <c r="D21" s="374"/>
      <c r="E21" s="461">
        <v>97</v>
      </c>
      <c r="F21" s="649" t="s">
        <v>82</v>
      </c>
      <c r="G21" s="650"/>
      <c r="H21" s="650"/>
      <c r="I21" s="656"/>
      <c r="J21" s="360"/>
      <c r="K21" s="362"/>
      <c r="L21" s="682"/>
      <c r="M21" s="642"/>
      <c r="N21" s="182"/>
      <c r="O21" s="445"/>
      <c r="P21" s="446"/>
      <c r="Q21" s="453"/>
      <c r="R21" s="446"/>
      <c r="S21" s="182"/>
      <c r="T21" s="182"/>
    </row>
    <row r="22" spans="1:20" s="13" customFormat="1" ht="15" customHeight="1" x14ac:dyDescent="0.2">
      <c r="A22" s="114" t="s">
        <v>144</v>
      </c>
      <c r="B22" s="67" t="s">
        <v>56</v>
      </c>
      <c r="C22" s="379"/>
      <c r="D22" s="374"/>
      <c r="E22" s="572"/>
      <c r="F22" s="649"/>
      <c r="G22" s="650"/>
      <c r="H22" s="650"/>
      <c r="I22" s="656"/>
      <c r="J22" s="360"/>
      <c r="K22" s="362"/>
      <c r="L22" s="682"/>
      <c r="M22" s="642"/>
      <c r="N22" s="182"/>
      <c r="O22" s="445"/>
      <c r="P22" s="445"/>
      <c r="Q22" s="453"/>
      <c r="R22" s="446"/>
      <c r="S22" s="242"/>
      <c r="T22" s="182"/>
    </row>
    <row r="23" spans="1:20" s="13" customFormat="1" ht="12" customHeight="1" thickBot="1" x14ac:dyDescent="0.25">
      <c r="A23" s="661"/>
      <c r="B23" s="368" t="s">
        <v>58</v>
      </c>
      <c r="C23" s="369"/>
      <c r="D23" s="374" t="s">
        <v>59</v>
      </c>
      <c r="E23" s="23">
        <v>83</v>
      </c>
      <c r="F23" s="647" t="s">
        <v>83</v>
      </c>
      <c r="G23" s="648"/>
      <c r="H23" s="648"/>
      <c r="I23" s="68"/>
      <c r="J23" s="695"/>
      <c r="K23" s="696"/>
      <c r="L23" s="69"/>
      <c r="M23" s="70"/>
      <c r="N23" s="182"/>
      <c r="O23" s="85"/>
      <c r="P23" s="85"/>
      <c r="Q23" s="90"/>
      <c r="R23" s="187"/>
      <c r="S23" s="182"/>
      <c r="T23" s="182"/>
    </row>
    <row r="24" spans="1:20" s="13" customFormat="1" ht="12" customHeight="1" thickBot="1" x14ac:dyDescent="0.25">
      <c r="A24" s="661"/>
      <c r="B24" s="370"/>
      <c r="C24" s="371"/>
      <c r="D24" s="374"/>
      <c r="E24" s="20">
        <v>99</v>
      </c>
      <c r="F24" s="643" t="s">
        <v>71</v>
      </c>
      <c r="G24" s="644"/>
      <c r="H24" s="644"/>
      <c r="I24" s="645"/>
      <c r="J24" s="644"/>
      <c r="K24" s="644"/>
      <c r="L24" s="646"/>
      <c r="M24" s="71"/>
      <c r="N24" s="182"/>
      <c r="O24" s="85"/>
      <c r="P24" s="85"/>
      <c r="Q24" s="90"/>
      <c r="R24" s="187"/>
      <c r="S24" s="182"/>
      <c r="T24" s="182"/>
    </row>
    <row r="25" spans="1:20" s="13" customFormat="1" ht="24" customHeight="1" thickBot="1" x14ac:dyDescent="0.25">
      <c r="A25" s="661"/>
      <c r="B25" s="370"/>
      <c r="C25" s="371"/>
      <c r="D25" s="374"/>
      <c r="E25" s="664" t="s">
        <v>67</v>
      </c>
      <c r="F25" s="665"/>
      <c r="G25" s="665"/>
      <c r="H25" s="665"/>
      <c r="I25" s="665"/>
      <c r="J25" s="665"/>
      <c r="K25" s="665"/>
      <c r="L25" s="665"/>
      <c r="M25" s="666"/>
      <c r="N25" s="182"/>
      <c r="O25" s="85"/>
      <c r="P25" s="85"/>
      <c r="Q25" s="90"/>
      <c r="R25" s="205"/>
      <c r="T25" s="182"/>
    </row>
    <row r="26" spans="1:20" ht="9" customHeight="1" x14ac:dyDescent="0.2">
      <c r="A26" s="661"/>
      <c r="B26" s="370"/>
      <c r="C26" s="371"/>
      <c r="D26" s="374"/>
      <c r="E26" s="635" t="s">
        <v>84</v>
      </c>
      <c r="F26" s="636"/>
      <c r="G26" s="636"/>
      <c r="H26" s="636"/>
      <c r="I26" s="636"/>
      <c r="J26" s="636"/>
      <c r="K26" s="636"/>
      <c r="L26" s="636"/>
      <c r="M26" s="637"/>
      <c r="O26" s="85"/>
      <c r="P26" s="199"/>
      <c r="Q26" s="199"/>
      <c r="R26" s="199"/>
      <c r="S26" s="182"/>
    </row>
    <row r="27" spans="1:20" ht="9" customHeight="1" x14ac:dyDescent="0.2">
      <c r="A27" s="661"/>
      <c r="B27" s="370"/>
      <c r="C27" s="371"/>
      <c r="D27" s="374"/>
      <c r="E27" s="638"/>
      <c r="F27" s="639"/>
      <c r="G27" s="639"/>
      <c r="H27" s="639"/>
      <c r="I27" s="639"/>
      <c r="J27" s="639"/>
      <c r="K27" s="639"/>
      <c r="L27" s="639"/>
      <c r="M27" s="640"/>
      <c r="O27" s="85"/>
      <c r="P27" s="199" t="str">
        <f>IF(A2&gt;20.49,P33,"")</f>
        <v/>
      </c>
      <c r="Q27" s="199" t="str">
        <f>IF(A2&gt;20.99,Q33,"")</f>
        <v/>
      </c>
      <c r="R27" s="199" t="str">
        <f>IF(A2&gt;21.49,R33,"")</f>
        <v/>
      </c>
      <c r="S27" s="182"/>
    </row>
    <row r="28" spans="1:20" ht="9" customHeight="1" thickBot="1" x14ac:dyDescent="0.25">
      <c r="A28" s="661"/>
      <c r="B28" s="370"/>
      <c r="C28" s="371"/>
      <c r="D28" s="374"/>
      <c r="E28" s="638"/>
      <c r="F28" s="639"/>
      <c r="G28" s="639"/>
      <c r="H28" s="639"/>
      <c r="I28" s="639"/>
      <c r="J28" s="639"/>
      <c r="K28" s="639"/>
      <c r="L28" s="639"/>
      <c r="M28" s="640"/>
      <c r="O28" s="85"/>
      <c r="P28" s="199"/>
      <c r="Q28" s="200">
        <f>MIN(P27,Q27,R27)</f>
        <v>0</v>
      </c>
      <c r="R28" s="199"/>
      <c r="S28" s="182"/>
    </row>
    <row r="29" spans="1:20" ht="10.5" customHeight="1" x14ac:dyDescent="0.2">
      <c r="A29" s="661"/>
      <c r="B29" s="370"/>
      <c r="C29" s="371"/>
      <c r="D29" s="374"/>
      <c r="E29" s="634">
        <v>96</v>
      </c>
      <c r="F29" s="669" t="s">
        <v>81</v>
      </c>
      <c r="G29" s="670"/>
      <c r="H29" s="671"/>
      <c r="I29" s="672"/>
      <c r="J29" s="673"/>
      <c r="K29" s="674"/>
      <c r="L29" s="658"/>
      <c r="M29" s="657"/>
      <c r="O29" s="85"/>
      <c r="P29" s="201"/>
      <c r="Q29" s="201" t="str">
        <f>ROMAN(Q28)</f>
        <v/>
      </c>
      <c r="R29" s="201"/>
      <c r="S29" s="85"/>
    </row>
    <row r="30" spans="1:20" ht="10.5" customHeight="1" x14ac:dyDescent="0.2">
      <c r="A30" s="661"/>
      <c r="B30" s="370"/>
      <c r="C30" s="371"/>
      <c r="D30" s="374"/>
      <c r="E30" s="462"/>
      <c r="F30" s="652"/>
      <c r="G30" s="442"/>
      <c r="H30" s="653"/>
      <c r="I30" s="656"/>
      <c r="J30" s="360"/>
      <c r="K30" s="362"/>
      <c r="L30" s="659"/>
      <c r="M30" s="642"/>
      <c r="O30" s="85"/>
      <c r="P30" s="199"/>
      <c r="Q30" s="199"/>
      <c r="R30" s="199"/>
      <c r="S30" s="182"/>
    </row>
    <row r="31" spans="1:20" ht="10.5" customHeight="1" x14ac:dyDescent="0.2">
      <c r="A31" s="661"/>
      <c r="B31" s="370"/>
      <c r="C31" s="371"/>
      <c r="D31" s="374"/>
      <c r="E31" s="461">
        <v>97</v>
      </c>
      <c r="F31" s="649" t="s">
        <v>82</v>
      </c>
      <c r="G31" s="650"/>
      <c r="H31" s="650"/>
      <c r="I31" s="656"/>
      <c r="J31" s="360"/>
      <c r="K31" s="362"/>
      <c r="L31" s="659"/>
      <c r="M31" s="642"/>
      <c r="O31" s="182"/>
      <c r="P31" s="199"/>
      <c r="Q31" s="199"/>
      <c r="R31" s="199"/>
      <c r="S31" s="182"/>
    </row>
    <row r="32" spans="1:20" ht="10.5" customHeight="1" x14ac:dyDescent="0.2">
      <c r="A32" s="661"/>
      <c r="B32" s="370"/>
      <c r="C32" s="371"/>
      <c r="D32" s="374"/>
      <c r="E32" s="572"/>
      <c r="F32" s="649"/>
      <c r="G32" s="650"/>
      <c r="H32" s="650"/>
      <c r="I32" s="656"/>
      <c r="J32" s="360"/>
      <c r="K32" s="362"/>
      <c r="L32" s="659"/>
      <c r="M32" s="642"/>
      <c r="P32" s="199"/>
      <c r="Q32" s="199"/>
      <c r="R32" s="199"/>
      <c r="S32" s="182"/>
    </row>
    <row r="33" spans="1:19" ht="10.5" customHeight="1" x14ac:dyDescent="0.2">
      <c r="A33" s="661"/>
      <c r="B33" s="372"/>
      <c r="C33" s="373"/>
      <c r="D33" s="374"/>
      <c r="E33" s="398">
        <v>98</v>
      </c>
      <c r="F33" s="375" t="s">
        <v>85</v>
      </c>
      <c r="G33" s="375"/>
      <c r="H33" s="376"/>
      <c r="I33" s="656"/>
      <c r="J33" s="360"/>
      <c r="K33" s="362"/>
      <c r="L33" s="659"/>
      <c r="M33" s="642"/>
      <c r="P33" s="199">
        <v>3</v>
      </c>
      <c r="Q33" s="199">
        <v>2</v>
      </c>
      <c r="R33" s="199">
        <v>1</v>
      </c>
      <c r="S33" s="182"/>
    </row>
    <row r="34" spans="1:19" ht="12.75" customHeight="1" x14ac:dyDescent="0.2">
      <c r="A34" s="523"/>
      <c r="B34" s="334" t="s">
        <v>68</v>
      </c>
      <c r="C34" s="334" t="s">
        <v>69</v>
      </c>
      <c r="D34" s="336" t="s">
        <v>70</v>
      </c>
      <c r="E34" s="398"/>
      <c r="F34" s="375"/>
      <c r="G34" s="375"/>
      <c r="H34" s="376"/>
      <c r="I34" s="656"/>
      <c r="J34" s="360"/>
      <c r="K34" s="362"/>
      <c r="L34" s="660"/>
      <c r="M34" s="642"/>
      <c r="P34" s="199"/>
      <c r="Q34" s="199"/>
      <c r="R34" s="199"/>
      <c r="S34" s="182"/>
    </row>
    <row r="35" spans="1:19" ht="12.75" customHeight="1" thickBot="1" x14ac:dyDescent="0.25">
      <c r="A35" s="523"/>
      <c r="B35" s="334"/>
      <c r="C35" s="334"/>
      <c r="D35" s="336"/>
      <c r="E35" s="72">
        <v>83</v>
      </c>
      <c r="F35" s="662" t="s">
        <v>83</v>
      </c>
      <c r="G35" s="662"/>
      <c r="H35" s="663"/>
      <c r="I35" s="73"/>
      <c r="J35" s="667"/>
      <c r="K35" s="668"/>
      <c r="L35" s="74"/>
      <c r="M35" s="75"/>
      <c r="P35" s="199"/>
      <c r="Q35" s="199"/>
      <c r="R35" s="199"/>
      <c r="S35" s="182"/>
    </row>
    <row r="36" spans="1:19" ht="12.75" customHeight="1" thickBot="1" x14ac:dyDescent="0.25">
      <c r="A36" s="523"/>
      <c r="B36" s="334"/>
      <c r="C36" s="334"/>
      <c r="D36" s="336"/>
      <c r="E36" s="44">
        <v>99</v>
      </c>
      <c r="F36" s="525" t="s">
        <v>71</v>
      </c>
      <c r="G36" s="526"/>
      <c r="H36" s="526"/>
      <c r="I36" s="526"/>
      <c r="J36" s="526"/>
      <c r="K36" s="526"/>
      <c r="L36" s="526"/>
      <c r="M36" s="76"/>
      <c r="P36" s="203" t="s">
        <v>146</v>
      </c>
      <c r="Q36" s="199"/>
      <c r="R36" s="199"/>
      <c r="S36" s="182" t="str">
        <f>(IF(Q28=3,P36,""))</f>
        <v/>
      </c>
    </row>
    <row r="37" spans="1:19" ht="12.75" customHeight="1" thickBot="1" x14ac:dyDescent="0.25">
      <c r="A37" s="523"/>
      <c r="B37" s="334"/>
      <c r="C37" s="334"/>
      <c r="D37" s="336"/>
      <c r="E37" s="664" t="s">
        <v>67</v>
      </c>
      <c r="F37" s="665"/>
      <c r="G37" s="665"/>
      <c r="H37" s="665"/>
      <c r="I37" s="665"/>
      <c r="J37" s="665"/>
      <c r="K37" s="665"/>
      <c r="L37" s="665"/>
      <c r="M37" s="666"/>
      <c r="P37" s="203" t="s">
        <v>147</v>
      </c>
      <c r="Q37" s="199"/>
      <c r="R37" s="199"/>
      <c r="S37" s="182" t="str">
        <f>(IF(Q28=2,P37,""))</f>
        <v/>
      </c>
    </row>
    <row r="38" spans="1:19" ht="12.75" customHeight="1" thickBot="1" x14ac:dyDescent="0.25">
      <c r="A38" s="523"/>
      <c r="B38" s="334"/>
      <c r="C38" s="334"/>
      <c r="D38" s="336"/>
      <c r="E38" s="44">
        <v>99</v>
      </c>
      <c r="F38" s="525" t="s">
        <v>71</v>
      </c>
      <c r="G38" s="526"/>
      <c r="H38" s="526"/>
      <c r="I38" s="526"/>
      <c r="J38" s="526"/>
      <c r="K38" s="526"/>
      <c r="L38" s="526"/>
      <c r="M38" s="76">
        <f>M9</f>
        <v>0</v>
      </c>
      <c r="P38" s="203" t="s">
        <v>190</v>
      </c>
      <c r="Q38" s="199"/>
      <c r="R38" s="199"/>
      <c r="S38" s="182" t="str">
        <f>(IF(Q28=1,P38,""))</f>
        <v/>
      </c>
    </row>
    <row r="39" spans="1:19" ht="24.75" customHeight="1" x14ac:dyDescent="0.2">
      <c r="A39" s="523"/>
      <c r="B39" s="334" t="s">
        <v>72</v>
      </c>
      <c r="C39" s="334"/>
      <c r="D39" s="336" t="s">
        <v>73</v>
      </c>
      <c r="E39" s="338" t="s">
        <v>191</v>
      </c>
      <c r="F39" s="339"/>
      <c r="G39" s="339"/>
      <c r="H39" s="340">
        <v>40589</v>
      </c>
      <c r="I39" s="341"/>
      <c r="J39" s="342" t="s">
        <v>214</v>
      </c>
      <c r="K39" s="518"/>
      <c r="L39" s="328"/>
      <c r="M39" s="329"/>
      <c r="N39" s="195"/>
      <c r="Q39" s="522"/>
      <c r="R39" s="522"/>
      <c r="S39" s="3" t="str">
        <f>CONCATENATE(S38,S37,S36)</f>
        <v/>
      </c>
    </row>
    <row r="40" spans="1:19" ht="10.5" customHeight="1" thickBot="1" x14ac:dyDescent="0.25">
      <c r="A40" s="527"/>
      <c r="B40" s="335"/>
      <c r="C40" s="335"/>
      <c r="D40" s="337"/>
      <c r="E40" s="521" t="s">
        <v>74</v>
      </c>
      <c r="F40" s="330"/>
      <c r="G40" s="330"/>
      <c r="H40" s="330" t="s">
        <v>75</v>
      </c>
      <c r="I40" s="330"/>
      <c r="J40" s="330" t="s">
        <v>76</v>
      </c>
      <c r="K40" s="330"/>
      <c r="L40" s="330" t="s">
        <v>77</v>
      </c>
      <c r="M40" s="331"/>
      <c r="N40" s="195"/>
      <c r="O40" s="195"/>
      <c r="P40" s="195"/>
      <c r="Q40" s="195"/>
      <c r="R40" s="196"/>
      <c r="S40" s="3"/>
    </row>
    <row r="41" spans="1:19" x14ac:dyDescent="0.2">
      <c r="E41" s="46"/>
      <c r="F41" s="46"/>
      <c r="G41" s="46"/>
      <c r="H41" s="46"/>
      <c r="J41" s="46"/>
      <c r="K41" s="51"/>
      <c r="L41" s="46"/>
      <c r="N41" s="195"/>
      <c r="R41" s="122"/>
    </row>
    <row r="42" spans="1:19" ht="15.75" x14ac:dyDescent="0.2">
      <c r="E42" s="46"/>
      <c r="F42" s="46"/>
      <c r="G42" s="46"/>
      <c r="H42" s="46"/>
      <c r="J42" s="46"/>
      <c r="K42" s="51"/>
      <c r="L42" s="46"/>
      <c r="N42" s="195"/>
      <c r="R42" s="194"/>
    </row>
    <row r="43" spans="1:19" x14ac:dyDescent="0.2">
      <c r="E43" s="46"/>
      <c r="F43" s="46"/>
      <c r="G43" s="46"/>
      <c r="H43" s="46"/>
      <c r="J43" s="46"/>
      <c r="K43" s="51"/>
      <c r="L43" s="46"/>
      <c r="N43" s="195"/>
      <c r="Q43" s="422"/>
      <c r="R43" s="422"/>
    </row>
    <row r="44" spans="1:19" x14ac:dyDescent="0.2">
      <c r="E44" s="46"/>
      <c r="F44" s="46"/>
      <c r="G44" s="46"/>
      <c r="H44" s="46"/>
      <c r="J44" s="46"/>
      <c r="K44" s="51"/>
      <c r="L44" s="46"/>
      <c r="N44" s="195"/>
      <c r="Q44" s="522"/>
      <c r="R44" s="522"/>
    </row>
    <row r="45" spans="1:19" x14ac:dyDescent="0.2">
      <c r="E45" s="46"/>
      <c r="F45" s="46"/>
      <c r="G45" s="46"/>
      <c r="H45" s="46"/>
      <c r="J45" s="46"/>
      <c r="K45" s="51"/>
      <c r="L45" s="46"/>
      <c r="N45" s="195"/>
      <c r="O45" s="195"/>
      <c r="P45" s="195"/>
      <c r="Q45" s="195"/>
      <c r="R45" s="196"/>
    </row>
    <row r="46" spans="1:19" x14ac:dyDescent="0.2">
      <c r="E46" s="46"/>
      <c r="F46" s="46"/>
      <c r="G46" s="46"/>
      <c r="H46" s="46"/>
      <c r="J46" s="46"/>
      <c r="K46" s="51"/>
      <c r="L46" s="46"/>
      <c r="N46" s="195"/>
      <c r="O46" s="195"/>
      <c r="P46" s="195"/>
      <c r="Q46" s="195"/>
      <c r="R46" s="196"/>
    </row>
    <row r="47" spans="1:19" x14ac:dyDescent="0.2">
      <c r="E47" s="46"/>
      <c r="F47" s="46"/>
      <c r="G47" s="46"/>
      <c r="H47" s="46"/>
      <c r="J47" s="46"/>
      <c r="K47" s="51"/>
      <c r="L47" s="46"/>
      <c r="N47" s="195"/>
      <c r="O47" s="195"/>
      <c r="P47" s="195"/>
      <c r="Q47" s="195"/>
      <c r="R47" s="196"/>
    </row>
    <row r="48" spans="1:19" x14ac:dyDescent="0.2">
      <c r="E48" s="46"/>
      <c r="F48" s="46"/>
      <c r="G48" s="46"/>
      <c r="H48" s="46"/>
      <c r="J48" s="46"/>
      <c r="K48" s="51"/>
      <c r="L48" s="46"/>
      <c r="N48" s="195"/>
      <c r="O48" s="195"/>
      <c r="P48" s="195"/>
      <c r="Q48" s="195"/>
      <c r="R48" s="196"/>
    </row>
    <row r="49" spans="5:18" x14ac:dyDescent="0.2">
      <c r="E49" s="46"/>
      <c r="F49" s="46"/>
      <c r="G49" s="46"/>
      <c r="H49" s="46"/>
      <c r="J49" s="46"/>
      <c r="K49" s="51"/>
      <c r="L49" s="46"/>
      <c r="N49" s="195"/>
      <c r="O49" s="195"/>
      <c r="P49" s="195"/>
      <c r="Q49" s="195"/>
      <c r="R49" s="196"/>
    </row>
    <row r="50" spans="5:18" x14ac:dyDescent="0.2">
      <c r="E50" s="46"/>
      <c r="F50" s="46"/>
      <c r="G50" s="46"/>
      <c r="H50" s="46"/>
      <c r="J50" s="46"/>
      <c r="K50" s="51"/>
      <c r="L50" s="46"/>
      <c r="N50" s="195"/>
      <c r="O50" s="195"/>
      <c r="P50" s="195"/>
      <c r="Q50" s="195"/>
      <c r="R50" s="196"/>
    </row>
    <row r="51" spans="5:18" x14ac:dyDescent="0.2">
      <c r="E51" s="46"/>
      <c r="F51" s="46"/>
      <c r="G51" s="46"/>
      <c r="H51" s="46"/>
      <c r="J51" s="46"/>
      <c r="K51" s="51"/>
      <c r="L51" s="46"/>
      <c r="N51" s="195"/>
      <c r="O51" s="195"/>
      <c r="P51" s="195"/>
      <c r="Q51" s="195"/>
      <c r="R51" s="196"/>
    </row>
    <row r="52" spans="5:18" x14ac:dyDescent="0.2">
      <c r="E52" s="46"/>
      <c r="F52" s="46"/>
      <c r="G52" s="46"/>
      <c r="H52" s="46"/>
      <c r="J52" s="46"/>
      <c r="K52" s="51"/>
      <c r="L52" s="46"/>
      <c r="N52" s="195"/>
      <c r="O52" s="195"/>
      <c r="P52" s="195"/>
      <c r="Q52" s="195"/>
      <c r="R52" s="196"/>
    </row>
    <row r="53" spans="5:18" x14ac:dyDescent="0.2">
      <c r="E53" s="46"/>
      <c r="F53" s="46"/>
      <c r="G53" s="46"/>
      <c r="H53" s="46"/>
      <c r="J53" s="46"/>
      <c r="K53" s="51"/>
      <c r="L53" s="46"/>
      <c r="N53" s="195"/>
      <c r="O53" s="195"/>
      <c r="P53" s="195"/>
      <c r="Q53" s="195"/>
      <c r="R53" s="196"/>
    </row>
    <row r="54" spans="5:18" x14ac:dyDescent="0.2">
      <c r="E54" s="46"/>
      <c r="F54" s="46"/>
      <c r="G54" s="46"/>
      <c r="H54" s="46"/>
      <c r="J54" s="46"/>
      <c r="K54" s="51"/>
      <c r="L54" s="46"/>
      <c r="N54" s="195"/>
      <c r="O54" s="195"/>
      <c r="P54" s="195"/>
      <c r="Q54" s="195"/>
      <c r="R54" s="196"/>
    </row>
    <row r="55" spans="5:18" ht="25.5" customHeight="1" x14ac:dyDescent="0.2">
      <c r="E55" s="46"/>
      <c r="F55" s="46"/>
      <c r="G55" s="46"/>
      <c r="H55" s="46"/>
      <c r="J55" s="46"/>
      <c r="K55" s="51"/>
      <c r="L55" s="46"/>
      <c r="N55" s="195"/>
      <c r="O55" s="195"/>
      <c r="P55" s="195"/>
      <c r="Q55" s="195"/>
      <c r="R55" s="196"/>
    </row>
    <row r="56" spans="5:18" ht="27" customHeight="1" x14ac:dyDescent="0.2">
      <c r="E56" s="46"/>
      <c r="F56" s="46"/>
      <c r="G56" s="46"/>
      <c r="H56" s="46"/>
      <c r="J56" s="46"/>
      <c r="K56" s="51"/>
      <c r="L56" s="46"/>
      <c r="N56" s="195"/>
      <c r="O56" s="195"/>
      <c r="P56" s="195"/>
      <c r="Q56" s="195"/>
      <c r="R56" s="196"/>
    </row>
    <row r="57" spans="5:18" x14ac:dyDescent="0.2">
      <c r="O57" s="195"/>
      <c r="P57" s="195"/>
      <c r="Q57" s="195"/>
      <c r="R57" s="196"/>
    </row>
    <row r="58" spans="5:18" x14ac:dyDescent="0.2">
      <c r="O58" s="195"/>
      <c r="P58" s="195"/>
      <c r="Q58" s="195"/>
      <c r="R58" s="196"/>
    </row>
    <row r="59" spans="5:18" x14ac:dyDescent="0.2">
      <c r="O59" s="195"/>
      <c r="P59" s="195"/>
      <c r="Q59" s="195"/>
      <c r="R59" s="196"/>
    </row>
    <row r="60" spans="5:18" x14ac:dyDescent="0.2">
      <c r="O60" s="195"/>
      <c r="P60" s="195"/>
      <c r="Q60" s="195"/>
      <c r="R60" s="196"/>
    </row>
  </sheetData>
  <mergeCells count="124">
    <mergeCell ref="R8:R9"/>
    <mergeCell ref="F31:H32"/>
    <mergeCell ref="I31:I32"/>
    <mergeCell ref="J31:K32"/>
    <mergeCell ref="M29:M34"/>
    <mergeCell ref="L29:L34"/>
    <mergeCell ref="I33:I34"/>
    <mergeCell ref="P14:P15"/>
    <mergeCell ref="R21:R22"/>
    <mergeCell ref="R12:R13"/>
    <mergeCell ref="R14:R15"/>
    <mergeCell ref="Q15:Q16"/>
    <mergeCell ref="Q21:Q22"/>
    <mergeCell ref="J21:K22"/>
    <mergeCell ref="O21:O22"/>
    <mergeCell ref="R10:R11"/>
    <mergeCell ref="O14:O15"/>
    <mergeCell ref="P12:P13"/>
    <mergeCell ref="O12:O13"/>
    <mergeCell ref="Q17:Q19"/>
    <mergeCell ref="L19:L22"/>
    <mergeCell ref="P17:P19"/>
    <mergeCell ref="O10:O11"/>
    <mergeCell ref="P21:P22"/>
    <mergeCell ref="J29:K30"/>
    <mergeCell ref="E26:M28"/>
    <mergeCell ref="M19:M22"/>
    <mergeCell ref="F24:L24"/>
    <mergeCell ref="F23:H23"/>
    <mergeCell ref="R17:R19"/>
    <mergeCell ref="O17:O19"/>
    <mergeCell ref="I21:I22"/>
    <mergeCell ref="F21:H22"/>
    <mergeCell ref="E25:M25"/>
    <mergeCell ref="J23:K23"/>
    <mergeCell ref="E29:E30"/>
    <mergeCell ref="F29:H30"/>
    <mergeCell ref="I29:I30"/>
    <mergeCell ref="Q44:R44"/>
    <mergeCell ref="E40:G40"/>
    <mergeCell ref="H40:I40"/>
    <mergeCell ref="J40:K40"/>
    <mergeCell ref="L40:M40"/>
    <mergeCell ref="Q43:R43"/>
    <mergeCell ref="F38:L38"/>
    <mergeCell ref="E39:G39"/>
    <mergeCell ref="E37:M37"/>
    <mergeCell ref="J39:K39"/>
    <mergeCell ref="L39:M39"/>
    <mergeCell ref="Q39:R39"/>
    <mergeCell ref="A39:A40"/>
    <mergeCell ref="B39:B40"/>
    <mergeCell ref="D39:D40"/>
    <mergeCell ref="A34:A38"/>
    <mergeCell ref="B34:B38"/>
    <mergeCell ref="C34:C40"/>
    <mergeCell ref="D34:D38"/>
    <mergeCell ref="H39:I39"/>
    <mergeCell ref="F33:H34"/>
    <mergeCell ref="F36:L36"/>
    <mergeCell ref="J35:K35"/>
    <mergeCell ref="J33:K34"/>
    <mergeCell ref="A5:A6"/>
    <mergeCell ref="B5:C6"/>
    <mergeCell ref="D5:D6"/>
    <mergeCell ref="C10:C13"/>
    <mergeCell ref="D23:D33"/>
    <mergeCell ref="F35:H35"/>
    <mergeCell ref="E33:E34"/>
    <mergeCell ref="A23:A33"/>
    <mergeCell ref="A20:A21"/>
    <mergeCell ref="B15:C16"/>
    <mergeCell ref="F19:H20"/>
    <mergeCell ref="A15:A19"/>
    <mergeCell ref="B23:C33"/>
    <mergeCell ref="D15:D16"/>
    <mergeCell ref="B17:B19"/>
    <mergeCell ref="C17:C22"/>
    <mergeCell ref="E19:E20"/>
    <mergeCell ref="E21:E22"/>
    <mergeCell ref="D17:D22"/>
    <mergeCell ref="E31:E32"/>
    <mergeCell ref="Q8:Q9"/>
    <mergeCell ref="F13:K13"/>
    <mergeCell ref="P8:P9"/>
    <mergeCell ref="O8:O9"/>
    <mergeCell ref="P10:P11"/>
    <mergeCell ref="M7:M8"/>
    <mergeCell ref="M14:M15"/>
    <mergeCell ref="I19:I20"/>
    <mergeCell ref="A2:A4"/>
    <mergeCell ref="B2:B4"/>
    <mergeCell ref="C2:C4"/>
    <mergeCell ref="D2:D4"/>
    <mergeCell ref="A10:A13"/>
    <mergeCell ref="B10:B13"/>
    <mergeCell ref="F5:J6"/>
    <mergeCell ref="H11:M12"/>
    <mergeCell ref="E11:G11"/>
    <mergeCell ref="M5:M6"/>
    <mergeCell ref="L7:L8"/>
    <mergeCell ref="F7:J8"/>
    <mergeCell ref="A7:A9"/>
    <mergeCell ref="E7:E8"/>
    <mergeCell ref="E5:E6"/>
    <mergeCell ref="K5:K6"/>
    <mergeCell ref="B1:C1"/>
    <mergeCell ref="E1:M2"/>
    <mergeCell ref="F3:K3"/>
    <mergeCell ref="F4:K4"/>
    <mergeCell ref="B20:B21"/>
    <mergeCell ref="L14:L15"/>
    <mergeCell ref="E16:M18"/>
    <mergeCell ref="J19:K20"/>
    <mergeCell ref="F14:K15"/>
    <mergeCell ref="E14:E15"/>
    <mergeCell ref="L5:L6"/>
    <mergeCell ref="B7:C9"/>
    <mergeCell ref="D10:D13"/>
    <mergeCell ref="M9:M10"/>
    <mergeCell ref="K7:K8"/>
    <mergeCell ref="F9:L10"/>
    <mergeCell ref="D7:D9"/>
    <mergeCell ref="E9:E10"/>
  </mergeCells>
  <phoneticPr fontId="0" type="noConversion"/>
  <printOptions verticalCentered="1"/>
  <pageMargins left="0.19685039370078741" right="0.19685039370078741" top="0.39370078740157483" bottom="0.39370078740157483" header="0.51181102362204722" footer="0.51181102362204722"/>
  <pageSetup orientation="landscape" verticalDpi="4294967295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0"/>
  <sheetViews>
    <sheetView workbookViewId="0">
      <selection activeCell="V38" sqref="V38"/>
    </sheetView>
  </sheetViews>
  <sheetFormatPr defaultRowHeight="12.75" x14ac:dyDescent="0.2"/>
  <cols>
    <col min="1" max="1" width="3.42578125" style="47" customWidth="1"/>
    <col min="2" max="3" width="2" style="77" customWidth="1"/>
    <col min="4" max="4" width="2" style="78" customWidth="1"/>
    <col min="5" max="5" width="4.28515625" style="52" customWidth="1"/>
    <col min="6" max="6" width="3.140625" style="3" customWidth="1"/>
    <col min="7" max="7" width="9.28515625" style="3" customWidth="1"/>
    <col min="8" max="8" width="5.140625" style="3" customWidth="1"/>
    <col min="9" max="9" width="6.42578125" style="50" customWidth="1"/>
    <col min="10" max="10" width="13" style="3" customWidth="1"/>
    <col min="11" max="11" width="5.42578125" style="53" customWidth="1"/>
    <col min="12" max="12" width="5.140625" style="3" customWidth="1"/>
    <col min="13" max="13" width="6.42578125" style="79" customWidth="1"/>
    <col min="14" max="14" width="9.140625" style="3"/>
    <col min="15" max="16" width="8.28515625" style="122" hidden="1" customWidth="1"/>
    <col min="17" max="17" width="8.7109375" style="122" hidden="1" customWidth="1"/>
    <col min="18" max="18" width="8.28515625" style="197" hidden="1" customWidth="1"/>
    <col min="19" max="20" width="0" style="122" hidden="1" customWidth="1"/>
    <col min="21" max="21" width="0" style="3" hidden="1" customWidth="1"/>
    <col min="22" max="16384" width="9.140625" style="3"/>
  </cols>
  <sheetData>
    <row r="1" spans="1:20" s="1" customFormat="1" ht="18.75" customHeight="1" x14ac:dyDescent="0.2">
      <c r="A1" s="119" t="s">
        <v>145</v>
      </c>
      <c r="B1" s="409" t="s">
        <v>0</v>
      </c>
      <c r="C1" s="409"/>
      <c r="D1" s="55" t="s">
        <v>1</v>
      </c>
      <c r="E1" s="635" t="s">
        <v>148</v>
      </c>
      <c r="F1" s="636"/>
      <c r="G1" s="636"/>
      <c r="H1" s="636"/>
      <c r="I1" s="636"/>
      <c r="J1" s="636"/>
      <c r="K1" s="636"/>
      <c r="L1" s="636"/>
      <c r="M1" s="637"/>
      <c r="O1" s="121"/>
      <c r="P1" s="121"/>
      <c r="Q1" s="121"/>
      <c r="R1" s="121"/>
      <c r="S1" s="121"/>
      <c r="T1" s="121"/>
    </row>
    <row r="2" spans="1:20" ht="18.75" customHeight="1" thickBot="1" x14ac:dyDescent="0.25">
      <c r="A2" s="427">
        <f>M9</f>
        <v>0</v>
      </c>
      <c r="B2" s="415" t="s">
        <v>2</v>
      </c>
      <c r="C2" s="417"/>
      <c r="D2" s="419" t="s">
        <v>3</v>
      </c>
      <c r="E2" s="679"/>
      <c r="F2" s="680"/>
      <c r="G2" s="680"/>
      <c r="H2" s="680"/>
      <c r="I2" s="680"/>
      <c r="J2" s="680"/>
      <c r="K2" s="680"/>
      <c r="L2" s="680"/>
      <c r="M2" s="681"/>
      <c r="R2" s="122"/>
    </row>
    <row r="3" spans="1:20" s="7" customFormat="1" ht="11.25" customHeight="1" x14ac:dyDescent="0.2">
      <c r="A3" s="570"/>
      <c r="B3" s="416"/>
      <c r="C3" s="418"/>
      <c r="D3" s="420"/>
      <c r="E3" s="4" t="s">
        <v>5</v>
      </c>
      <c r="F3" s="404" t="s">
        <v>6</v>
      </c>
      <c r="G3" s="683"/>
      <c r="H3" s="683"/>
      <c r="I3" s="683"/>
      <c r="J3" s="683"/>
      <c r="K3" s="684"/>
      <c r="L3" s="56" t="s">
        <v>8</v>
      </c>
      <c r="M3" s="57" t="s">
        <v>9</v>
      </c>
      <c r="O3" s="178"/>
      <c r="P3" s="178"/>
      <c r="Q3" s="178" t="s">
        <v>8</v>
      </c>
      <c r="R3" s="179" t="s">
        <v>9</v>
      </c>
      <c r="S3" s="178"/>
      <c r="T3" s="178"/>
    </row>
    <row r="4" spans="1:20" s="13" customFormat="1" ht="18.75" customHeight="1" thickBot="1" x14ac:dyDescent="0.25">
      <c r="A4" s="570"/>
      <c r="B4" s="416"/>
      <c r="C4" s="418"/>
      <c r="D4" s="420"/>
      <c r="E4" s="58" t="s">
        <v>10</v>
      </c>
      <c r="F4" s="407" t="s">
        <v>11</v>
      </c>
      <c r="G4" s="685"/>
      <c r="H4" s="685"/>
      <c r="I4" s="685"/>
      <c r="J4" s="685"/>
      <c r="K4" s="686"/>
      <c r="L4" s="59" t="s">
        <v>13</v>
      </c>
      <c r="M4" s="60" t="s">
        <v>14</v>
      </c>
      <c r="O4" s="182"/>
      <c r="P4" s="182"/>
      <c r="Q4" s="61" t="s">
        <v>13</v>
      </c>
      <c r="R4" s="183" t="s">
        <v>14</v>
      </c>
      <c r="S4" s="182"/>
      <c r="T4" s="182"/>
    </row>
    <row r="5" spans="1:20" s="13" customFormat="1" ht="12" customHeight="1" x14ac:dyDescent="0.2">
      <c r="A5" s="661"/>
      <c r="B5" s="379" t="s">
        <v>17</v>
      </c>
      <c r="C5" s="379"/>
      <c r="D5" s="374" t="s">
        <v>18</v>
      </c>
      <c r="E5" s="564">
        <v>94</v>
      </c>
      <c r="F5" s="687" t="s">
        <v>78</v>
      </c>
      <c r="G5" s="441"/>
      <c r="H5" s="441"/>
      <c r="I5" s="441"/>
      <c r="J5" s="688"/>
      <c r="K5" s="704"/>
      <c r="L5" s="493">
        <v>1</v>
      </c>
      <c r="M5" s="702">
        <f>L5*K5</f>
        <v>0</v>
      </c>
      <c r="O5" s="182"/>
      <c r="P5" s="182"/>
      <c r="Q5" s="61"/>
      <c r="R5" s="183"/>
      <c r="S5" s="182"/>
      <c r="T5" s="182"/>
    </row>
    <row r="6" spans="1:20" s="13" customFormat="1" ht="12" customHeight="1" x14ac:dyDescent="0.2">
      <c r="A6" s="661"/>
      <c r="B6" s="379"/>
      <c r="C6" s="379"/>
      <c r="D6" s="374"/>
      <c r="E6" s="398"/>
      <c r="F6" s="652"/>
      <c r="G6" s="442"/>
      <c r="H6" s="442"/>
      <c r="I6" s="442"/>
      <c r="J6" s="653"/>
      <c r="K6" s="654"/>
      <c r="L6" s="557"/>
      <c r="M6" s="703"/>
      <c r="O6" s="182"/>
      <c r="P6" s="182"/>
      <c r="Q6" s="61"/>
      <c r="R6" s="183"/>
      <c r="S6" s="182"/>
      <c r="T6" s="182"/>
    </row>
    <row r="7" spans="1:20" s="13" customFormat="1" ht="12" customHeight="1" x14ac:dyDescent="0.2">
      <c r="A7" s="661"/>
      <c r="B7" s="395" t="s">
        <v>21</v>
      </c>
      <c r="C7" s="395"/>
      <c r="D7" s="374" t="s">
        <v>22</v>
      </c>
      <c r="E7" s="398">
        <v>95</v>
      </c>
      <c r="F7" s="649" t="s">
        <v>79</v>
      </c>
      <c r="G7" s="650"/>
      <c r="H7" s="650"/>
      <c r="I7" s="650"/>
      <c r="J7" s="618"/>
      <c r="K7" s="654"/>
      <c r="L7" s="557">
        <v>1</v>
      </c>
      <c r="M7" s="689">
        <f>L7*K7</f>
        <v>0</v>
      </c>
      <c r="O7" s="182"/>
      <c r="P7" s="182"/>
      <c r="Q7" s="61"/>
      <c r="R7" s="183"/>
      <c r="S7" s="182"/>
      <c r="T7" s="182"/>
    </row>
    <row r="8" spans="1:20" s="13" customFormat="1" ht="12" customHeight="1" thickBot="1" x14ac:dyDescent="0.25">
      <c r="A8" s="661"/>
      <c r="B8" s="395"/>
      <c r="C8" s="395"/>
      <c r="D8" s="374"/>
      <c r="E8" s="398"/>
      <c r="F8" s="649"/>
      <c r="G8" s="650"/>
      <c r="H8" s="650"/>
      <c r="I8" s="650"/>
      <c r="J8" s="618"/>
      <c r="K8" s="655"/>
      <c r="L8" s="494"/>
      <c r="M8" s="690"/>
      <c r="O8" s="445">
        <f>TRUNC(P8,2)</f>
        <v>0</v>
      </c>
      <c r="P8" s="445">
        <f>(I7+I8)/2</f>
        <v>0</v>
      </c>
      <c r="Q8" s="445"/>
      <c r="R8" s="446">
        <f>O8*L5</f>
        <v>0</v>
      </c>
      <c r="S8" s="182"/>
      <c r="T8" s="182"/>
    </row>
    <row r="9" spans="1:20" s="13" customFormat="1" ht="12" customHeight="1" x14ac:dyDescent="0.2">
      <c r="A9" s="661"/>
      <c r="B9" s="395"/>
      <c r="C9" s="395"/>
      <c r="D9" s="374"/>
      <c r="E9" s="461">
        <v>99</v>
      </c>
      <c r="F9" s="643" t="s">
        <v>71</v>
      </c>
      <c r="G9" s="706"/>
      <c r="H9" s="706"/>
      <c r="I9" s="706"/>
      <c r="J9" s="644"/>
      <c r="K9" s="645"/>
      <c r="L9" s="707"/>
      <c r="M9" s="691">
        <f>SUM(M5:M8)</f>
        <v>0</v>
      </c>
      <c r="O9" s="445"/>
      <c r="P9" s="445"/>
      <c r="Q9" s="445"/>
      <c r="R9" s="446"/>
      <c r="S9" s="182"/>
      <c r="T9" s="182"/>
    </row>
    <row r="10" spans="1:20" s="13" customFormat="1" ht="12" customHeight="1" thickBot="1" x14ac:dyDescent="0.25">
      <c r="A10" s="693"/>
      <c r="B10" s="387" t="s">
        <v>26</v>
      </c>
      <c r="C10" s="387" t="s">
        <v>27</v>
      </c>
      <c r="D10" s="390" t="s">
        <v>28</v>
      </c>
      <c r="E10" s="572"/>
      <c r="F10" s="708"/>
      <c r="G10" s="709"/>
      <c r="H10" s="709"/>
      <c r="I10" s="709"/>
      <c r="J10" s="645"/>
      <c r="K10" s="645"/>
      <c r="L10" s="710"/>
      <c r="M10" s="692"/>
      <c r="O10" s="445">
        <f>TRUNC(P10,2)</f>
        <v>0</v>
      </c>
      <c r="P10" s="445">
        <f>(I11+I12)/2</f>
        <v>0</v>
      </c>
      <c r="Q10" s="199"/>
      <c r="R10" s="446">
        <f>O10*L9</f>
        <v>0</v>
      </c>
      <c r="S10" s="182"/>
      <c r="T10" s="182"/>
    </row>
    <row r="11" spans="1:20" s="13" customFormat="1" ht="12" customHeight="1" x14ac:dyDescent="0.2">
      <c r="A11" s="694"/>
      <c r="B11" s="388"/>
      <c r="C11" s="388"/>
      <c r="D11" s="391"/>
      <c r="E11" s="711" t="s">
        <v>149</v>
      </c>
      <c r="F11" s="712"/>
      <c r="G11" s="712"/>
      <c r="H11" s="718" t="str">
        <f>S39</f>
        <v/>
      </c>
      <c r="I11" s="719"/>
      <c r="J11" s="719"/>
      <c r="K11" s="719"/>
      <c r="L11" s="719"/>
      <c r="M11" s="720"/>
      <c r="O11" s="445"/>
      <c r="P11" s="445"/>
      <c r="Q11" s="199"/>
      <c r="R11" s="446"/>
      <c r="S11" s="182"/>
      <c r="T11" s="182"/>
    </row>
    <row r="12" spans="1:20" s="13" customFormat="1" ht="12" customHeight="1" thickBot="1" x14ac:dyDescent="0.25">
      <c r="A12" s="694"/>
      <c r="B12" s="388"/>
      <c r="C12" s="388"/>
      <c r="D12" s="391"/>
      <c r="E12" s="174"/>
      <c r="F12" s="175"/>
      <c r="G12" s="175"/>
      <c r="H12" s="721"/>
      <c r="I12" s="721"/>
      <c r="J12" s="721"/>
      <c r="K12" s="721"/>
      <c r="L12" s="721"/>
      <c r="M12" s="722"/>
      <c r="O12" s="445">
        <f>TRUNC(P12,2)</f>
        <v>0</v>
      </c>
      <c r="P12" s="445">
        <f>(I16+I17)/2</f>
        <v>0</v>
      </c>
      <c r="Q12" s="199"/>
      <c r="R12" s="446">
        <f>O12*L16</f>
        <v>0</v>
      </c>
      <c r="S12" s="182"/>
      <c r="T12" s="182"/>
    </row>
    <row r="13" spans="1:20" s="13" customFormat="1" ht="12" customHeight="1" x14ac:dyDescent="0.2">
      <c r="A13" s="694"/>
      <c r="B13" s="389"/>
      <c r="C13" s="389"/>
      <c r="D13" s="392"/>
      <c r="E13" s="4" t="s">
        <v>5</v>
      </c>
      <c r="F13" s="404" t="s">
        <v>6</v>
      </c>
      <c r="G13" s="683"/>
      <c r="H13" s="683"/>
      <c r="I13" s="683"/>
      <c r="J13" s="683"/>
      <c r="K13" s="684"/>
      <c r="L13" s="56" t="s">
        <v>8</v>
      </c>
      <c r="M13" s="57" t="s">
        <v>9</v>
      </c>
      <c r="O13" s="445"/>
      <c r="P13" s="445"/>
      <c r="Q13" s="199"/>
      <c r="R13" s="446"/>
      <c r="S13" s="182"/>
      <c r="T13" s="182"/>
    </row>
    <row r="14" spans="1:20" s="13" customFormat="1" ht="12" customHeight="1" x14ac:dyDescent="0.2">
      <c r="A14" s="118"/>
      <c r="B14" s="64"/>
      <c r="C14" s="64"/>
      <c r="D14" s="65"/>
      <c r="E14" s="698" t="s">
        <v>10</v>
      </c>
      <c r="F14" s="407" t="s">
        <v>11</v>
      </c>
      <c r="G14" s="685"/>
      <c r="H14" s="685"/>
      <c r="I14" s="685"/>
      <c r="J14" s="685"/>
      <c r="K14" s="685"/>
      <c r="L14" s="407" t="s">
        <v>13</v>
      </c>
      <c r="M14" s="700" t="s">
        <v>14</v>
      </c>
      <c r="O14" s="445">
        <f>TRUNC(P14,2)</f>
        <v>0</v>
      </c>
      <c r="P14" s="445">
        <f>(I20+I21)/2</f>
        <v>0</v>
      </c>
      <c r="Q14" s="90"/>
      <c r="R14" s="446">
        <f>O14*L15</f>
        <v>0</v>
      </c>
      <c r="S14" s="242"/>
      <c r="T14" s="182"/>
    </row>
    <row r="15" spans="1:20" s="13" customFormat="1" ht="12" customHeight="1" thickBot="1" x14ac:dyDescent="0.25">
      <c r="A15" s="675"/>
      <c r="B15" s="379" t="s">
        <v>37</v>
      </c>
      <c r="C15" s="379"/>
      <c r="D15" s="374" t="s">
        <v>38</v>
      </c>
      <c r="E15" s="699"/>
      <c r="F15" s="697"/>
      <c r="G15" s="623"/>
      <c r="H15" s="623"/>
      <c r="I15" s="623"/>
      <c r="J15" s="623"/>
      <c r="K15" s="623"/>
      <c r="L15" s="697"/>
      <c r="M15" s="701"/>
      <c r="O15" s="445"/>
      <c r="P15" s="445"/>
      <c r="Q15" s="453"/>
      <c r="R15" s="446"/>
      <c r="S15" s="182"/>
      <c r="T15" s="182"/>
    </row>
    <row r="16" spans="1:20" s="13" customFormat="1" ht="7.5" customHeight="1" x14ac:dyDescent="0.2">
      <c r="A16" s="676"/>
      <c r="B16" s="379"/>
      <c r="C16" s="379"/>
      <c r="D16" s="374"/>
      <c r="E16" s="635" t="s">
        <v>80</v>
      </c>
      <c r="F16" s="636"/>
      <c r="G16" s="636"/>
      <c r="H16" s="636"/>
      <c r="I16" s="636"/>
      <c r="J16" s="636"/>
      <c r="K16" s="636"/>
      <c r="L16" s="636"/>
      <c r="M16" s="637"/>
      <c r="O16" s="202">
        <f>TRUNC(P16,2)</f>
        <v>0</v>
      </c>
      <c r="P16" s="202">
        <f>I23</f>
        <v>0</v>
      </c>
      <c r="Q16" s="453"/>
      <c r="R16" s="202">
        <f>L22*P16</f>
        <v>0</v>
      </c>
      <c r="S16" s="182"/>
      <c r="T16" s="182"/>
    </row>
    <row r="17" spans="1:20" s="13" customFormat="1" ht="7.5" customHeight="1" x14ac:dyDescent="0.2">
      <c r="A17" s="676"/>
      <c r="B17" s="379" t="s">
        <v>42</v>
      </c>
      <c r="C17" s="379" t="s">
        <v>43</v>
      </c>
      <c r="D17" s="374" t="s">
        <v>44</v>
      </c>
      <c r="E17" s="638"/>
      <c r="F17" s="639"/>
      <c r="G17" s="639"/>
      <c r="H17" s="639"/>
      <c r="I17" s="639"/>
      <c r="J17" s="639"/>
      <c r="K17" s="639"/>
      <c r="L17" s="639"/>
      <c r="M17" s="640"/>
      <c r="O17" s="445"/>
      <c r="P17" s="446"/>
      <c r="Q17" s="453"/>
      <c r="R17" s="446"/>
      <c r="S17" s="182"/>
      <c r="T17" s="182"/>
    </row>
    <row r="18" spans="1:20" s="13" customFormat="1" ht="7.5" customHeight="1" thickBot="1" x14ac:dyDescent="0.25">
      <c r="A18" s="676"/>
      <c r="B18" s="379"/>
      <c r="C18" s="379"/>
      <c r="D18" s="374"/>
      <c r="E18" s="679"/>
      <c r="F18" s="680"/>
      <c r="G18" s="680"/>
      <c r="H18" s="680"/>
      <c r="I18" s="680"/>
      <c r="J18" s="680"/>
      <c r="K18" s="680"/>
      <c r="L18" s="680"/>
      <c r="M18" s="681"/>
      <c r="O18" s="445"/>
      <c r="P18" s="446"/>
      <c r="Q18" s="453"/>
      <c r="R18" s="446"/>
      <c r="S18" s="182"/>
      <c r="T18" s="182"/>
    </row>
    <row r="19" spans="1:20" s="13" customFormat="1" ht="9" customHeight="1" x14ac:dyDescent="0.2">
      <c r="A19" s="677"/>
      <c r="B19" s="379"/>
      <c r="C19" s="379"/>
      <c r="D19" s="374"/>
      <c r="E19" s="572">
        <v>96</v>
      </c>
      <c r="F19" s="649" t="s">
        <v>81</v>
      </c>
      <c r="G19" s="650"/>
      <c r="H19" s="651"/>
      <c r="I19" s="672"/>
      <c r="J19" s="606"/>
      <c r="K19" s="705"/>
      <c r="L19" s="660">
        <v>1</v>
      </c>
      <c r="M19" s="641"/>
      <c r="O19" s="445"/>
      <c r="P19" s="446"/>
      <c r="Q19" s="453"/>
      <c r="R19" s="446"/>
      <c r="S19" s="182"/>
      <c r="T19" s="182"/>
    </row>
    <row r="20" spans="1:20" s="13" customFormat="1" ht="9" customHeight="1" x14ac:dyDescent="0.2">
      <c r="A20" s="678" t="s">
        <v>143</v>
      </c>
      <c r="B20" s="379" t="s">
        <v>51</v>
      </c>
      <c r="C20" s="379"/>
      <c r="D20" s="374"/>
      <c r="E20" s="462"/>
      <c r="F20" s="652"/>
      <c r="G20" s="442"/>
      <c r="H20" s="653"/>
      <c r="I20" s="656"/>
      <c r="J20" s="360"/>
      <c r="K20" s="362"/>
      <c r="L20" s="682"/>
      <c r="M20" s="642"/>
      <c r="O20" s="199"/>
      <c r="P20" s="200"/>
      <c r="Q20" s="90"/>
      <c r="R20" s="200"/>
      <c r="S20" s="182"/>
      <c r="T20" s="182"/>
    </row>
    <row r="21" spans="1:20" s="13" customFormat="1" ht="9" customHeight="1" x14ac:dyDescent="0.2">
      <c r="A21" s="678"/>
      <c r="B21" s="379"/>
      <c r="C21" s="379"/>
      <c r="D21" s="374"/>
      <c r="E21" s="461">
        <v>97</v>
      </c>
      <c r="F21" s="649" t="s">
        <v>82</v>
      </c>
      <c r="G21" s="650"/>
      <c r="H21" s="650"/>
      <c r="I21" s="656"/>
      <c r="J21" s="360"/>
      <c r="K21" s="362"/>
      <c r="L21" s="682"/>
      <c r="M21" s="642"/>
      <c r="O21" s="445"/>
      <c r="P21" s="446"/>
      <c r="Q21" s="453"/>
      <c r="R21" s="446"/>
      <c r="S21" s="182"/>
      <c r="T21" s="182"/>
    </row>
    <row r="22" spans="1:20" s="13" customFormat="1" ht="15" customHeight="1" x14ac:dyDescent="0.2">
      <c r="A22" s="114" t="s">
        <v>144</v>
      </c>
      <c r="B22" s="67" t="s">
        <v>56</v>
      </c>
      <c r="C22" s="379"/>
      <c r="D22" s="374"/>
      <c r="E22" s="572"/>
      <c r="F22" s="649"/>
      <c r="G22" s="650"/>
      <c r="H22" s="650"/>
      <c r="I22" s="656"/>
      <c r="J22" s="360"/>
      <c r="K22" s="362"/>
      <c r="L22" s="682"/>
      <c r="M22" s="642"/>
      <c r="O22" s="445"/>
      <c r="P22" s="446"/>
      <c r="Q22" s="453"/>
      <c r="R22" s="446"/>
      <c r="S22" s="242"/>
      <c r="T22" s="182"/>
    </row>
    <row r="23" spans="1:20" s="13" customFormat="1" ht="12" customHeight="1" thickBot="1" x14ac:dyDescent="0.25">
      <c r="A23" s="661"/>
      <c r="B23" s="368" t="s">
        <v>58</v>
      </c>
      <c r="C23" s="369"/>
      <c r="D23" s="374" t="s">
        <v>59</v>
      </c>
      <c r="E23" s="23">
        <v>83</v>
      </c>
      <c r="F23" s="647" t="s">
        <v>83</v>
      </c>
      <c r="G23" s="648"/>
      <c r="H23" s="648"/>
      <c r="I23" s="68"/>
      <c r="J23" s="695"/>
      <c r="K23" s="696"/>
      <c r="L23" s="69"/>
      <c r="M23" s="70"/>
      <c r="O23" s="85"/>
      <c r="P23" s="85"/>
      <c r="Q23" s="90"/>
      <c r="R23" s="187"/>
      <c r="S23" s="182"/>
      <c r="T23" s="182"/>
    </row>
    <row r="24" spans="1:20" s="13" customFormat="1" ht="12" customHeight="1" thickBot="1" x14ac:dyDescent="0.25">
      <c r="A24" s="661"/>
      <c r="B24" s="370"/>
      <c r="C24" s="371"/>
      <c r="D24" s="374"/>
      <c r="E24" s="20">
        <v>99</v>
      </c>
      <c r="F24" s="643" t="s">
        <v>71</v>
      </c>
      <c r="G24" s="644"/>
      <c r="H24" s="644"/>
      <c r="I24" s="645"/>
      <c r="J24" s="644"/>
      <c r="K24" s="644"/>
      <c r="L24" s="646"/>
      <c r="M24" s="71"/>
      <c r="O24" s="85"/>
      <c r="P24" s="85"/>
      <c r="Q24" s="90"/>
      <c r="R24" s="187"/>
      <c r="S24" s="182"/>
      <c r="T24" s="182"/>
    </row>
    <row r="25" spans="1:20" s="13" customFormat="1" ht="24" customHeight="1" thickBot="1" x14ac:dyDescent="0.25">
      <c r="A25" s="661"/>
      <c r="B25" s="370"/>
      <c r="C25" s="371"/>
      <c r="D25" s="374"/>
      <c r="E25" s="664" t="s">
        <v>67</v>
      </c>
      <c r="F25" s="665"/>
      <c r="G25" s="665"/>
      <c r="H25" s="665"/>
      <c r="I25" s="665"/>
      <c r="J25" s="665"/>
      <c r="K25" s="665"/>
      <c r="L25" s="665"/>
      <c r="M25" s="666"/>
      <c r="O25" s="85"/>
      <c r="P25" s="85"/>
      <c r="Q25" s="90"/>
      <c r="R25" s="205"/>
      <c r="T25" s="182"/>
    </row>
    <row r="26" spans="1:20" ht="9" customHeight="1" x14ac:dyDescent="0.2">
      <c r="A26" s="661"/>
      <c r="B26" s="370"/>
      <c r="C26" s="371"/>
      <c r="D26" s="374"/>
      <c r="E26" s="635" t="s">
        <v>84</v>
      </c>
      <c r="F26" s="636"/>
      <c r="G26" s="636"/>
      <c r="H26" s="636"/>
      <c r="I26" s="636"/>
      <c r="J26" s="636"/>
      <c r="K26" s="636"/>
      <c r="L26" s="636"/>
      <c r="M26" s="637"/>
      <c r="O26" s="85"/>
      <c r="P26" s="199"/>
      <c r="Q26" s="199"/>
      <c r="R26" s="199"/>
      <c r="S26" s="182"/>
    </row>
    <row r="27" spans="1:20" ht="9" customHeight="1" x14ac:dyDescent="0.2">
      <c r="A27" s="661"/>
      <c r="B27" s="370"/>
      <c r="C27" s="371"/>
      <c r="D27" s="374"/>
      <c r="E27" s="638"/>
      <c r="F27" s="639"/>
      <c r="G27" s="639"/>
      <c r="H27" s="639"/>
      <c r="I27" s="639"/>
      <c r="J27" s="639"/>
      <c r="K27" s="639"/>
      <c r="L27" s="639"/>
      <c r="M27" s="640"/>
      <c r="O27" s="85"/>
      <c r="P27" s="199" t="str">
        <f>IF(A2&gt;21.99,P33,"")</f>
        <v/>
      </c>
      <c r="Q27" s="199" t="str">
        <f>IF(A2&gt;22.49,Q33,"")</f>
        <v/>
      </c>
      <c r="R27" s="199" t="str">
        <f>IF(A2&gt;22.99,R33,"")</f>
        <v/>
      </c>
      <c r="S27" s="182"/>
    </row>
    <row r="28" spans="1:20" ht="9" customHeight="1" thickBot="1" x14ac:dyDescent="0.25">
      <c r="A28" s="661"/>
      <c r="B28" s="370"/>
      <c r="C28" s="371"/>
      <c r="D28" s="374"/>
      <c r="E28" s="638"/>
      <c r="F28" s="639"/>
      <c r="G28" s="639"/>
      <c r="H28" s="639"/>
      <c r="I28" s="639"/>
      <c r="J28" s="639"/>
      <c r="K28" s="639"/>
      <c r="L28" s="639"/>
      <c r="M28" s="640"/>
      <c r="O28" s="85"/>
      <c r="P28" s="199"/>
      <c r="Q28" s="200">
        <f>MIN(P27,Q27,R27)</f>
        <v>0</v>
      </c>
      <c r="R28" s="199"/>
      <c r="S28" s="182"/>
    </row>
    <row r="29" spans="1:20" ht="10.5" customHeight="1" x14ac:dyDescent="0.2">
      <c r="A29" s="661"/>
      <c r="B29" s="370"/>
      <c r="C29" s="371"/>
      <c r="D29" s="374"/>
      <c r="E29" s="634">
        <v>96</v>
      </c>
      <c r="F29" s="669" t="s">
        <v>81</v>
      </c>
      <c r="G29" s="670"/>
      <c r="H29" s="671"/>
      <c r="I29" s="672"/>
      <c r="J29" s="673"/>
      <c r="K29" s="674"/>
      <c r="L29" s="658"/>
      <c r="M29" s="657"/>
      <c r="O29" s="85"/>
      <c r="P29" s="201"/>
      <c r="Q29" s="201" t="str">
        <f>ROMAN(Q28)</f>
        <v/>
      </c>
      <c r="R29" s="201"/>
      <c r="S29" s="85"/>
    </row>
    <row r="30" spans="1:20" ht="10.5" customHeight="1" x14ac:dyDescent="0.2">
      <c r="A30" s="661"/>
      <c r="B30" s="370"/>
      <c r="C30" s="371"/>
      <c r="D30" s="374"/>
      <c r="E30" s="462"/>
      <c r="F30" s="652"/>
      <c r="G30" s="442"/>
      <c r="H30" s="653"/>
      <c r="I30" s="656"/>
      <c r="J30" s="360"/>
      <c r="K30" s="362"/>
      <c r="L30" s="659"/>
      <c r="M30" s="642"/>
      <c r="O30" s="85"/>
      <c r="P30" s="199"/>
      <c r="Q30" s="199"/>
      <c r="R30" s="199"/>
      <c r="S30" s="182"/>
    </row>
    <row r="31" spans="1:20" ht="10.5" customHeight="1" x14ac:dyDescent="0.2">
      <c r="A31" s="661"/>
      <c r="B31" s="370"/>
      <c r="C31" s="371"/>
      <c r="D31" s="374"/>
      <c r="E31" s="461">
        <v>97</v>
      </c>
      <c r="F31" s="649" t="s">
        <v>82</v>
      </c>
      <c r="G31" s="650"/>
      <c r="H31" s="650"/>
      <c r="I31" s="656"/>
      <c r="J31" s="360"/>
      <c r="K31" s="362"/>
      <c r="L31" s="659"/>
      <c r="M31" s="642"/>
      <c r="O31" s="182"/>
      <c r="P31" s="199"/>
      <c r="Q31" s="199"/>
      <c r="R31" s="199"/>
      <c r="S31" s="182"/>
    </row>
    <row r="32" spans="1:20" ht="10.5" customHeight="1" x14ac:dyDescent="0.2">
      <c r="A32" s="661"/>
      <c r="B32" s="370"/>
      <c r="C32" s="371"/>
      <c r="D32" s="374"/>
      <c r="E32" s="572"/>
      <c r="F32" s="649"/>
      <c r="G32" s="650"/>
      <c r="H32" s="650"/>
      <c r="I32" s="656"/>
      <c r="J32" s="360"/>
      <c r="K32" s="362"/>
      <c r="L32" s="659"/>
      <c r="M32" s="642"/>
      <c r="P32" s="199"/>
      <c r="Q32" s="199"/>
      <c r="R32" s="199"/>
      <c r="S32" s="182"/>
    </row>
    <row r="33" spans="1:19" ht="10.5" customHeight="1" x14ac:dyDescent="0.2">
      <c r="A33" s="661"/>
      <c r="B33" s="372"/>
      <c r="C33" s="373"/>
      <c r="D33" s="374"/>
      <c r="E33" s="398">
        <v>98</v>
      </c>
      <c r="F33" s="375" t="s">
        <v>85</v>
      </c>
      <c r="G33" s="375"/>
      <c r="H33" s="376"/>
      <c r="I33" s="656"/>
      <c r="J33" s="360"/>
      <c r="K33" s="362"/>
      <c r="L33" s="659"/>
      <c r="M33" s="642"/>
      <c r="P33" s="199">
        <v>3</v>
      </c>
      <c r="Q33" s="199">
        <v>2</v>
      </c>
      <c r="R33" s="199">
        <v>1</v>
      </c>
      <c r="S33" s="182"/>
    </row>
    <row r="34" spans="1:19" ht="12.75" customHeight="1" x14ac:dyDescent="0.2">
      <c r="A34" s="523"/>
      <c r="B34" s="334" t="s">
        <v>68</v>
      </c>
      <c r="C34" s="334" t="s">
        <v>69</v>
      </c>
      <c r="D34" s="336" t="s">
        <v>70</v>
      </c>
      <c r="E34" s="398"/>
      <c r="F34" s="375"/>
      <c r="G34" s="375"/>
      <c r="H34" s="376"/>
      <c r="I34" s="656"/>
      <c r="J34" s="360"/>
      <c r="K34" s="362"/>
      <c r="L34" s="660"/>
      <c r="M34" s="642"/>
      <c r="P34" s="199"/>
      <c r="Q34" s="199"/>
      <c r="R34" s="199"/>
      <c r="S34" s="182"/>
    </row>
    <row r="35" spans="1:19" ht="12.75" customHeight="1" thickBot="1" x14ac:dyDescent="0.25">
      <c r="A35" s="523"/>
      <c r="B35" s="334"/>
      <c r="C35" s="334"/>
      <c r="D35" s="336"/>
      <c r="E35" s="72">
        <v>83</v>
      </c>
      <c r="F35" s="662" t="s">
        <v>83</v>
      </c>
      <c r="G35" s="662"/>
      <c r="H35" s="663"/>
      <c r="I35" s="73"/>
      <c r="J35" s="667"/>
      <c r="K35" s="668"/>
      <c r="L35" s="74"/>
      <c r="M35" s="75"/>
      <c r="P35" s="199"/>
      <c r="Q35" s="199"/>
      <c r="R35" s="199"/>
      <c r="S35" s="182"/>
    </row>
    <row r="36" spans="1:19" ht="12.75" customHeight="1" thickBot="1" x14ac:dyDescent="0.25">
      <c r="A36" s="523"/>
      <c r="B36" s="334"/>
      <c r="C36" s="334"/>
      <c r="D36" s="336"/>
      <c r="E36" s="44">
        <v>99</v>
      </c>
      <c r="F36" s="525" t="s">
        <v>71</v>
      </c>
      <c r="G36" s="526"/>
      <c r="H36" s="526"/>
      <c r="I36" s="526"/>
      <c r="J36" s="526"/>
      <c r="K36" s="526"/>
      <c r="L36" s="526"/>
      <c r="M36" s="76"/>
      <c r="P36" s="203" t="s">
        <v>146</v>
      </c>
      <c r="Q36" s="199"/>
      <c r="R36" s="199"/>
      <c r="S36" s="182" t="str">
        <f>(IF(Q28=3,P36,""))</f>
        <v/>
      </c>
    </row>
    <row r="37" spans="1:19" ht="12.75" customHeight="1" thickBot="1" x14ac:dyDescent="0.25">
      <c r="A37" s="523"/>
      <c r="B37" s="334"/>
      <c r="C37" s="334"/>
      <c r="D37" s="336"/>
      <c r="E37" s="664" t="s">
        <v>67</v>
      </c>
      <c r="F37" s="665"/>
      <c r="G37" s="665"/>
      <c r="H37" s="665"/>
      <c r="I37" s="665"/>
      <c r="J37" s="665"/>
      <c r="K37" s="665"/>
      <c r="L37" s="665"/>
      <c r="M37" s="666"/>
      <c r="P37" s="203" t="s">
        <v>147</v>
      </c>
      <c r="Q37" s="199"/>
      <c r="R37" s="199"/>
      <c r="S37" s="182" t="str">
        <f>(IF(Q28=2,P37,""))</f>
        <v/>
      </c>
    </row>
    <row r="38" spans="1:19" ht="12.75" customHeight="1" thickBot="1" x14ac:dyDescent="0.25">
      <c r="A38" s="523"/>
      <c r="B38" s="334"/>
      <c r="C38" s="334"/>
      <c r="D38" s="336"/>
      <c r="E38" s="44">
        <v>99</v>
      </c>
      <c r="F38" s="525" t="s">
        <v>71</v>
      </c>
      <c r="G38" s="526"/>
      <c r="H38" s="526"/>
      <c r="I38" s="526"/>
      <c r="J38" s="526"/>
      <c r="K38" s="526"/>
      <c r="L38" s="526"/>
      <c r="M38" s="76">
        <f>M9</f>
        <v>0</v>
      </c>
      <c r="P38" s="203" t="s">
        <v>190</v>
      </c>
      <c r="Q38" s="199"/>
      <c r="R38" s="199"/>
      <c r="S38" s="182" t="str">
        <f>(IF(Q28=1,P38,""))</f>
        <v/>
      </c>
    </row>
    <row r="39" spans="1:19" ht="26.25" customHeight="1" x14ac:dyDescent="0.2">
      <c r="A39" s="523"/>
      <c r="B39" s="334" t="s">
        <v>72</v>
      </c>
      <c r="C39" s="334"/>
      <c r="D39" s="336" t="s">
        <v>73</v>
      </c>
      <c r="E39" s="338" t="s">
        <v>191</v>
      </c>
      <c r="F39" s="339"/>
      <c r="G39" s="339"/>
      <c r="H39" s="340">
        <v>40589</v>
      </c>
      <c r="I39" s="341"/>
      <c r="J39" s="342" t="s">
        <v>214</v>
      </c>
      <c r="K39" s="518"/>
      <c r="L39" s="328"/>
      <c r="M39" s="329"/>
      <c r="N39" s="46"/>
      <c r="Q39" s="522"/>
      <c r="R39" s="522"/>
      <c r="S39" s="3" t="str">
        <f>CONCATENATE(S38,S37,S36)</f>
        <v/>
      </c>
    </row>
    <row r="40" spans="1:19" ht="10.5" customHeight="1" thickBot="1" x14ac:dyDescent="0.25">
      <c r="A40" s="527"/>
      <c r="B40" s="335"/>
      <c r="C40" s="335"/>
      <c r="D40" s="337"/>
      <c r="E40" s="521" t="s">
        <v>74</v>
      </c>
      <c r="F40" s="330"/>
      <c r="G40" s="330"/>
      <c r="H40" s="330" t="s">
        <v>75</v>
      </c>
      <c r="I40" s="330"/>
      <c r="J40" s="330" t="s">
        <v>76</v>
      </c>
      <c r="K40" s="330"/>
      <c r="L40" s="330" t="s">
        <v>77</v>
      </c>
      <c r="M40" s="331"/>
      <c r="N40" s="46"/>
      <c r="O40" s="195"/>
      <c r="P40" s="195"/>
      <c r="Q40" s="195"/>
      <c r="R40" s="196"/>
      <c r="S40" s="3"/>
    </row>
    <row r="41" spans="1:19" x14ac:dyDescent="0.2">
      <c r="E41" s="46"/>
      <c r="F41" s="46"/>
      <c r="G41" s="46"/>
      <c r="H41" s="46"/>
      <c r="J41" s="46"/>
      <c r="K41" s="51"/>
      <c r="L41" s="46"/>
      <c r="N41" s="46"/>
      <c r="R41" s="122"/>
    </row>
    <row r="42" spans="1:19" ht="15.75" x14ac:dyDescent="0.2">
      <c r="E42" s="46"/>
      <c r="F42" s="46"/>
      <c r="G42" s="46"/>
      <c r="H42" s="46"/>
      <c r="J42" s="46"/>
      <c r="K42" s="51"/>
      <c r="L42" s="46"/>
      <c r="N42" s="46"/>
      <c r="R42" s="194"/>
    </row>
    <row r="43" spans="1:19" x14ac:dyDescent="0.2">
      <c r="E43" s="46"/>
      <c r="F43" s="46"/>
      <c r="G43" s="46"/>
      <c r="H43" s="46"/>
      <c r="J43" s="46"/>
      <c r="K43" s="51"/>
      <c r="L43" s="46"/>
      <c r="N43" s="46"/>
      <c r="Q43" s="422"/>
      <c r="R43" s="422"/>
    </row>
    <row r="44" spans="1:19" x14ac:dyDescent="0.2">
      <c r="E44" s="46"/>
      <c r="F44" s="46"/>
      <c r="G44" s="46"/>
      <c r="H44" s="46"/>
      <c r="J44" s="46"/>
      <c r="K44" s="51"/>
      <c r="L44" s="46"/>
      <c r="N44" s="46"/>
      <c r="Q44" s="522"/>
      <c r="R44" s="522"/>
    </row>
    <row r="45" spans="1:19" x14ac:dyDescent="0.2">
      <c r="E45" s="46"/>
      <c r="F45" s="46"/>
      <c r="G45" s="46"/>
      <c r="H45" s="46"/>
      <c r="J45" s="46"/>
      <c r="K45" s="51"/>
      <c r="L45" s="46"/>
      <c r="N45" s="46"/>
      <c r="O45" s="195"/>
      <c r="P45" s="195"/>
      <c r="Q45" s="195"/>
      <c r="R45" s="196"/>
    </row>
    <row r="46" spans="1:19" x14ac:dyDescent="0.2">
      <c r="E46" s="46"/>
      <c r="F46" s="46"/>
      <c r="G46" s="46"/>
      <c r="H46" s="46"/>
      <c r="J46" s="46"/>
      <c r="K46" s="51"/>
      <c r="L46" s="46"/>
      <c r="N46" s="46"/>
      <c r="O46" s="195"/>
      <c r="P46" s="195"/>
      <c r="Q46" s="195"/>
      <c r="R46" s="196"/>
    </row>
    <row r="47" spans="1:19" x14ac:dyDescent="0.2">
      <c r="E47" s="46"/>
      <c r="F47" s="46"/>
      <c r="G47" s="46"/>
      <c r="H47" s="46"/>
      <c r="J47" s="46"/>
      <c r="K47" s="51"/>
      <c r="L47" s="46"/>
      <c r="N47" s="46"/>
      <c r="O47" s="195"/>
      <c r="P47" s="195"/>
      <c r="Q47" s="195"/>
      <c r="R47" s="196"/>
    </row>
    <row r="48" spans="1:19" x14ac:dyDescent="0.2">
      <c r="E48" s="46"/>
      <c r="F48" s="46"/>
      <c r="G48" s="46"/>
      <c r="H48" s="46"/>
      <c r="J48" s="46"/>
      <c r="K48" s="51"/>
      <c r="L48" s="46"/>
      <c r="N48" s="46"/>
      <c r="O48" s="195"/>
      <c r="P48" s="195"/>
      <c r="Q48" s="195"/>
      <c r="R48" s="196"/>
    </row>
    <row r="49" spans="5:18" x14ac:dyDescent="0.2">
      <c r="E49" s="46"/>
      <c r="F49" s="46"/>
      <c r="G49" s="46"/>
      <c r="H49" s="46"/>
      <c r="J49" s="46"/>
      <c r="K49" s="51"/>
      <c r="L49" s="46"/>
      <c r="N49" s="46"/>
      <c r="O49" s="195"/>
      <c r="P49" s="195"/>
      <c r="Q49" s="195"/>
      <c r="R49" s="196"/>
    </row>
    <row r="50" spans="5:18" x14ac:dyDescent="0.2">
      <c r="E50" s="46"/>
      <c r="F50" s="46"/>
      <c r="G50" s="46"/>
      <c r="H50" s="46"/>
      <c r="J50" s="46"/>
      <c r="K50" s="51"/>
      <c r="L50" s="46"/>
      <c r="N50" s="46"/>
      <c r="O50" s="195"/>
      <c r="P50" s="195"/>
      <c r="Q50" s="195"/>
      <c r="R50" s="196"/>
    </row>
    <row r="51" spans="5:18" x14ac:dyDescent="0.2">
      <c r="E51" s="46"/>
      <c r="F51" s="46"/>
      <c r="G51" s="46"/>
      <c r="H51" s="46"/>
      <c r="J51" s="46"/>
      <c r="K51" s="51"/>
      <c r="L51" s="46"/>
      <c r="N51" s="46"/>
      <c r="O51" s="195"/>
      <c r="P51" s="195"/>
      <c r="Q51" s="195"/>
      <c r="R51" s="196"/>
    </row>
    <row r="52" spans="5:18" x14ac:dyDescent="0.2">
      <c r="E52" s="46"/>
      <c r="F52" s="46"/>
      <c r="G52" s="46"/>
      <c r="H52" s="46"/>
      <c r="J52" s="46"/>
      <c r="K52" s="51"/>
      <c r="L52" s="46"/>
      <c r="N52" s="46"/>
      <c r="O52" s="195"/>
      <c r="P52" s="195"/>
      <c r="Q52" s="195"/>
      <c r="R52" s="196"/>
    </row>
    <row r="53" spans="5:18" x14ac:dyDescent="0.2">
      <c r="E53" s="46"/>
      <c r="F53" s="46"/>
      <c r="G53" s="46"/>
      <c r="H53" s="46"/>
      <c r="J53" s="46"/>
      <c r="K53" s="51"/>
      <c r="L53" s="46"/>
      <c r="N53" s="46"/>
      <c r="O53" s="195"/>
      <c r="P53" s="195"/>
      <c r="Q53" s="195"/>
      <c r="R53" s="196"/>
    </row>
    <row r="54" spans="5:18" x14ac:dyDescent="0.2">
      <c r="E54" s="46"/>
      <c r="F54" s="46"/>
      <c r="G54" s="46"/>
      <c r="H54" s="46"/>
      <c r="J54" s="46"/>
      <c r="K54" s="51"/>
      <c r="L54" s="46"/>
      <c r="N54" s="46"/>
      <c r="O54" s="195"/>
      <c r="P54" s="195"/>
      <c r="Q54" s="195"/>
      <c r="R54" s="196"/>
    </row>
    <row r="55" spans="5:18" ht="25.5" customHeight="1" x14ac:dyDescent="0.2">
      <c r="E55" s="46"/>
      <c r="F55" s="46"/>
      <c r="G55" s="46"/>
      <c r="H55" s="46"/>
      <c r="J55" s="46"/>
      <c r="K55" s="51"/>
      <c r="L55" s="46"/>
      <c r="N55" s="46"/>
      <c r="O55" s="195"/>
      <c r="P55" s="195"/>
      <c r="Q55" s="195"/>
      <c r="R55" s="196"/>
    </row>
    <row r="56" spans="5:18" ht="27" customHeight="1" x14ac:dyDescent="0.2">
      <c r="E56" s="46"/>
      <c r="F56" s="46"/>
      <c r="G56" s="46"/>
      <c r="H56" s="46"/>
      <c r="J56" s="46"/>
      <c r="K56" s="51"/>
      <c r="L56" s="46"/>
      <c r="N56" s="46"/>
      <c r="O56" s="195"/>
      <c r="P56" s="195"/>
      <c r="Q56" s="195"/>
      <c r="R56" s="196"/>
    </row>
    <row r="57" spans="5:18" x14ac:dyDescent="0.2">
      <c r="O57" s="195"/>
      <c r="P57" s="195"/>
      <c r="Q57" s="195"/>
      <c r="R57" s="196"/>
    </row>
    <row r="58" spans="5:18" x14ac:dyDescent="0.2">
      <c r="O58" s="195"/>
      <c r="P58" s="195"/>
      <c r="Q58" s="195"/>
      <c r="R58" s="196"/>
    </row>
    <row r="59" spans="5:18" x14ac:dyDescent="0.2">
      <c r="O59" s="195"/>
      <c r="P59" s="195"/>
      <c r="Q59" s="195"/>
      <c r="R59" s="196"/>
    </row>
    <row r="60" spans="5:18" x14ac:dyDescent="0.2">
      <c r="O60" s="195"/>
      <c r="P60" s="195"/>
      <c r="Q60" s="195"/>
      <c r="R60" s="196"/>
    </row>
  </sheetData>
  <mergeCells count="124">
    <mergeCell ref="Q44:R44"/>
    <mergeCell ref="Q43:R43"/>
    <mergeCell ref="E21:E22"/>
    <mergeCell ref="J39:K39"/>
    <mergeCell ref="L39:M39"/>
    <mergeCell ref="E40:G40"/>
    <mergeCell ref="H40:I40"/>
    <mergeCell ref="O21:O22"/>
    <mergeCell ref="Q39:R39"/>
    <mergeCell ref="E29:E30"/>
    <mergeCell ref="M19:M22"/>
    <mergeCell ref="F24:L24"/>
    <mergeCell ref="F23:H23"/>
    <mergeCell ref="I21:I22"/>
    <mergeCell ref="F19:H20"/>
    <mergeCell ref="J19:K20"/>
    <mergeCell ref="J21:K22"/>
    <mergeCell ref="F29:H30"/>
    <mergeCell ref="I29:I30"/>
    <mergeCell ref="J29:K30"/>
    <mergeCell ref="E25:M25"/>
    <mergeCell ref="J23:K23"/>
    <mergeCell ref="F36:L36"/>
    <mergeCell ref="E37:M37"/>
    <mergeCell ref="Q8:Q9"/>
    <mergeCell ref="E7:E8"/>
    <mergeCell ref="P17:P19"/>
    <mergeCell ref="Q17:Q19"/>
    <mergeCell ref="R10:R11"/>
    <mergeCell ref="O14:O15"/>
    <mergeCell ref="P12:P13"/>
    <mergeCell ref="R17:R19"/>
    <mergeCell ref="O17:O19"/>
    <mergeCell ref="O12:O13"/>
    <mergeCell ref="P8:P9"/>
    <mergeCell ref="O8:O9"/>
    <mergeCell ref="R12:R13"/>
    <mergeCell ref="R14:R15"/>
    <mergeCell ref="Q15:Q16"/>
    <mergeCell ref="E11:G11"/>
    <mergeCell ref="O10:O11"/>
    <mergeCell ref="A20:A21"/>
    <mergeCell ref="B15:C16"/>
    <mergeCell ref="D15:D16"/>
    <mergeCell ref="B17:B19"/>
    <mergeCell ref="C17:C22"/>
    <mergeCell ref="A23:A33"/>
    <mergeCell ref="D23:D33"/>
    <mergeCell ref="F35:H35"/>
    <mergeCell ref="E33:E34"/>
    <mergeCell ref="C34:C40"/>
    <mergeCell ref="D34:D38"/>
    <mergeCell ref="E26:M28"/>
    <mergeCell ref="F38:L38"/>
    <mergeCell ref="E19:E20"/>
    <mergeCell ref="I19:I20"/>
    <mergeCell ref="B39:B40"/>
    <mergeCell ref="D39:D40"/>
    <mergeCell ref="A34:A38"/>
    <mergeCell ref="B34:B38"/>
    <mergeCell ref="B23:C33"/>
    <mergeCell ref="J33:K34"/>
    <mergeCell ref="H39:I39"/>
    <mergeCell ref="F33:H34"/>
    <mergeCell ref="E31:E32"/>
    <mergeCell ref="J35:K35"/>
    <mergeCell ref="F31:H32"/>
    <mergeCell ref="I31:I32"/>
    <mergeCell ref="J31:K32"/>
    <mergeCell ref="M29:M34"/>
    <mergeCell ref="L29:L34"/>
    <mergeCell ref="I33:I34"/>
    <mergeCell ref="K5:K6"/>
    <mergeCell ref="L5:L6"/>
    <mergeCell ref="F5:J6"/>
    <mergeCell ref="M7:M8"/>
    <mergeCell ref="J40:K40"/>
    <mergeCell ref="L40:M40"/>
    <mergeCell ref="E39:G39"/>
    <mergeCell ref="A39:A40"/>
    <mergeCell ref="A2:A4"/>
    <mergeCell ref="B2:B4"/>
    <mergeCell ref="C2:C4"/>
    <mergeCell ref="D2:D4"/>
    <mergeCell ref="A10:A13"/>
    <mergeCell ref="B10:B13"/>
    <mergeCell ref="A5:A6"/>
    <mergeCell ref="B5:C6"/>
    <mergeCell ref="D5:D6"/>
    <mergeCell ref="A7:A9"/>
    <mergeCell ref="C10:C13"/>
    <mergeCell ref="D10:D13"/>
    <mergeCell ref="E5:E6"/>
    <mergeCell ref="B7:C9"/>
    <mergeCell ref="L7:L8"/>
    <mergeCell ref="F7:J8"/>
    <mergeCell ref="A15:A19"/>
    <mergeCell ref="M9:M10"/>
    <mergeCell ref="K7:K8"/>
    <mergeCell ref="H11:M12"/>
    <mergeCell ref="D17:D22"/>
    <mergeCell ref="F13:K13"/>
    <mergeCell ref="R8:R9"/>
    <mergeCell ref="P14:P15"/>
    <mergeCell ref="B1:C1"/>
    <mergeCell ref="E1:M2"/>
    <mergeCell ref="F3:K3"/>
    <mergeCell ref="F4:K4"/>
    <mergeCell ref="B20:B21"/>
    <mergeCell ref="L14:L15"/>
    <mergeCell ref="E16:M18"/>
    <mergeCell ref="F14:K15"/>
    <mergeCell ref="E14:E15"/>
    <mergeCell ref="F9:L10"/>
    <mergeCell ref="D7:D9"/>
    <mergeCell ref="E9:E10"/>
    <mergeCell ref="L19:L22"/>
    <mergeCell ref="M14:M15"/>
    <mergeCell ref="F21:H22"/>
    <mergeCell ref="M5:M6"/>
    <mergeCell ref="P10:P11"/>
    <mergeCell ref="P21:P22"/>
    <mergeCell ref="Q21:Q22"/>
    <mergeCell ref="R21:R22"/>
  </mergeCells>
  <phoneticPr fontId="0" type="noConversion"/>
  <printOptions verticalCentered="1"/>
  <pageMargins left="0.19685039370078741" right="0.19685039370078741" top="0.39370078740157483" bottom="0.39370078740157483" header="0.51181102362204722" footer="0.51181102362204722"/>
  <pageSetup orientation="landscape" verticalDpi="4294967295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0"/>
  <sheetViews>
    <sheetView workbookViewId="0">
      <selection activeCell="V29" sqref="V29"/>
    </sheetView>
  </sheetViews>
  <sheetFormatPr defaultRowHeight="12.75" x14ac:dyDescent="0.2"/>
  <cols>
    <col min="1" max="1" width="3.42578125" style="47" customWidth="1"/>
    <col min="2" max="3" width="2" style="77" customWidth="1"/>
    <col min="4" max="4" width="2" style="78" customWidth="1"/>
    <col min="5" max="5" width="4.28515625" style="282" customWidth="1"/>
    <col min="6" max="6" width="3.140625" style="3" customWidth="1"/>
    <col min="7" max="7" width="9.28515625" style="3" customWidth="1"/>
    <col min="8" max="8" width="5.140625" style="3" customWidth="1"/>
    <col min="9" max="9" width="6.42578125" style="50" customWidth="1"/>
    <col min="10" max="10" width="13" style="3" customWidth="1"/>
    <col min="11" max="11" width="5.42578125" style="53" customWidth="1"/>
    <col min="12" max="12" width="5.140625" style="3" customWidth="1"/>
    <col min="13" max="13" width="6.42578125" style="79" customWidth="1"/>
    <col min="14" max="14" width="9.140625" style="122"/>
    <col min="15" max="16" width="8.28515625" style="122" hidden="1" customWidth="1"/>
    <col min="17" max="17" width="8.7109375" style="122" hidden="1" customWidth="1"/>
    <col min="18" max="18" width="8.28515625" style="197" hidden="1" customWidth="1"/>
    <col min="19" max="19" width="9.140625" style="122" hidden="1" customWidth="1"/>
    <col min="20" max="20" width="9.140625" style="122" customWidth="1"/>
    <col min="21" max="16384" width="9.140625" style="3"/>
  </cols>
  <sheetData>
    <row r="1" spans="1:20" s="1" customFormat="1" ht="18.75" customHeight="1" x14ac:dyDescent="0.2">
      <c r="A1" s="119"/>
      <c r="B1" s="409" t="s">
        <v>0</v>
      </c>
      <c r="C1" s="409"/>
      <c r="D1" s="55" t="s">
        <v>1</v>
      </c>
      <c r="E1" s="635" t="s">
        <v>227</v>
      </c>
      <c r="F1" s="636"/>
      <c r="G1" s="636"/>
      <c r="H1" s="636"/>
      <c r="I1" s="636"/>
      <c r="J1" s="636"/>
      <c r="K1" s="636"/>
      <c r="L1" s="636"/>
      <c r="M1" s="637"/>
      <c r="N1" s="121"/>
      <c r="O1" s="121"/>
      <c r="P1" s="121"/>
      <c r="Q1" s="121"/>
      <c r="R1" s="121"/>
      <c r="S1" s="121"/>
      <c r="T1" s="121"/>
    </row>
    <row r="2" spans="1:20" ht="18.75" customHeight="1" thickBot="1" x14ac:dyDescent="0.25">
      <c r="A2" s="427">
        <f>M9</f>
        <v>0</v>
      </c>
      <c r="B2" s="415" t="s">
        <v>2</v>
      </c>
      <c r="C2" s="417"/>
      <c r="D2" s="419" t="s">
        <v>3</v>
      </c>
      <c r="E2" s="679"/>
      <c r="F2" s="680"/>
      <c r="G2" s="680"/>
      <c r="H2" s="680"/>
      <c r="I2" s="680"/>
      <c r="J2" s="680"/>
      <c r="K2" s="680"/>
      <c r="L2" s="680"/>
      <c r="M2" s="681"/>
      <c r="R2" s="122"/>
    </row>
    <row r="3" spans="1:20" s="7" customFormat="1" ht="11.25" customHeight="1" x14ac:dyDescent="0.2">
      <c r="A3" s="570"/>
      <c r="B3" s="416"/>
      <c r="C3" s="418"/>
      <c r="D3" s="420"/>
      <c r="E3" s="4" t="s">
        <v>5</v>
      </c>
      <c r="F3" s="404" t="s">
        <v>6</v>
      </c>
      <c r="G3" s="683"/>
      <c r="H3" s="683"/>
      <c r="I3" s="683"/>
      <c r="J3" s="683"/>
      <c r="K3" s="684"/>
      <c r="L3" s="283" t="s">
        <v>8</v>
      </c>
      <c r="M3" s="57" t="s">
        <v>9</v>
      </c>
      <c r="N3" s="178"/>
      <c r="O3" s="178"/>
      <c r="P3" s="178"/>
      <c r="Q3" s="178" t="s">
        <v>8</v>
      </c>
      <c r="R3" s="179" t="s">
        <v>9</v>
      </c>
      <c r="S3" s="178"/>
      <c r="T3" s="178"/>
    </row>
    <row r="4" spans="1:20" s="13" customFormat="1" ht="18.75" customHeight="1" thickBot="1" x14ac:dyDescent="0.25">
      <c r="A4" s="570"/>
      <c r="B4" s="416"/>
      <c r="C4" s="418"/>
      <c r="D4" s="420"/>
      <c r="E4" s="58" t="s">
        <v>10</v>
      </c>
      <c r="F4" s="407" t="s">
        <v>11</v>
      </c>
      <c r="G4" s="685"/>
      <c r="H4" s="685"/>
      <c r="I4" s="685"/>
      <c r="J4" s="685"/>
      <c r="K4" s="686"/>
      <c r="L4" s="284" t="s">
        <v>13</v>
      </c>
      <c r="M4" s="60" t="s">
        <v>14</v>
      </c>
      <c r="N4" s="182"/>
      <c r="O4" s="182"/>
      <c r="P4" s="182"/>
      <c r="Q4" s="61" t="s">
        <v>13</v>
      </c>
      <c r="R4" s="183" t="s">
        <v>14</v>
      </c>
      <c r="S4" s="182"/>
      <c r="T4" s="182"/>
    </row>
    <row r="5" spans="1:20" s="13" customFormat="1" ht="12" customHeight="1" x14ac:dyDescent="0.2">
      <c r="A5" s="661"/>
      <c r="B5" s="379" t="s">
        <v>17</v>
      </c>
      <c r="C5" s="379"/>
      <c r="D5" s="374" t="s">
        <v>18</v>
      </c>
      <c r="E5" s="564">
        <v>94</v>
      </c>
      <c r="F5" s="687" t="s">
        <v>78</v>
      </c>
      <c r="G5" s="441"/>
      <c r="H5" s="441"/>
      <c r="I5" s="441"/>
      <c r="J5" s="688"/>
      <c r="K5" s="704"/>
      <c r="L5" s="493">
        <v>1</v>
      </c>
      <c r="M5" s="702">
        <f>L5*K5</f>
        <v>0</v>
      </c>
      <c r="N5" s="182"/>
      <c r="O5" s="182"/>
      <c r="P5" s="182"/>
      <c r="Q5" s="61"/>
      <c r="R5" s="183"/>
      <c r="S5" s="182"/>
      <c r="T5" s="182"/>
    </row>
    <row r="6" spans="1:20" s="13" customFormat="1" ht="12" customHeight="1" x14ac:dyDescent="0.2">
      <c r="A6" s="661"/>
      <c r="B6" s="379"/>
      <c r="C6" s="379"/>
      <c r="D6" s="374"/>
      <c r="E6" s="398"/>
      <c r="F6" s="652"/>
      <c r="G6" s="442"/>
      <c r="H6" s="442"/>
      <c r="I6" s="442"/>
      <c r="J6" s="653"/>
      <c r="K6" s="654"/>
      <c r="L6" s="557"/>
      <c r="M6" s="703"/>
      <c r="N6" s="182"/>
      <c r="O6" s="182"/>
      <c r="P6" s="182"/>
      <c r="Q6" s="61"/>
      <c r="R6" s="183"/>
      <c r="S6" s="182"/>
      <c r="T6" s="182"/>
    </row>
    <row r="7" spans="1:20" s="13" customFormat="1" ht="12" customHeight="1" x14ac:dyDescent="0.2">
      <c r="A7" s="661"/>
      <c r="B7" s="395" t="s">
        <v>21</v>
      </c>
      <c r="C7" s="395"/>
      <c r="D7" s="374" t="s">
        <v>22</v>
      </c>
      <c r="E7" s="398">
        <v>95</v>
      </c>
      <c r="F7" s="649" t="s">
        <v>79</v>
      </c>
      <c r="G7" s="650"/>
      <c r="H7" s="650"/>
      <c r="I7" s="650"/>
      <c r="J7" s="618"/>
      <c r="K7" s="654"/>
      <c r="L7" s="557">
        <v>1</v>
      </c>
      <c r="M7" s="689">
        <f>L7*K7</f>
        <v>0</v>
      </c>
      <c r="N7" s="182"/>
      <c r="O7" s="182"/>
      <c r="P7" s="182"/>
      <c r="Q7" s="61"/>
      <c r="R7" s="183"/>
      <c r="S7" s="182"/>
      <c r="T7" s="182"/>
    </row>
    <row r="8" spans="1:20" s="13" customFormat="1" ht="12" customHeight="1" thickBot="1" x14ac:dyDescent="0.25">
      <c r="A8" s="661"/>
      <c r="B8" s="395"/>
      <c r="C8" s="395"/>
      <c r="D8" s="374"/>
      <c r="E8" s="398"/>
      <c r="F8" s="649"/>
      <c r="G8" s="650"/>
      <c r="H8" s="650"/>
      <c r="I8" s="650"/>
      <c r="J8" s="618"/>
      <c r="K8" s="655"/>
      <c r="L8" s="494"/>
      <c r="M8" s="690"/>
      <c r="N8" s="182"/>
      <c r="O8" s="445">
        <f>TRUNC(P8,2)</f>
        <v>0</v>
      </c>
      <c r="P8" s="445">
        <f>(I7+I8)/2</f>
        <v>0</v>
      </c>
      <c r="Q8" s="445"/>
      <c r="R8" s="446">
        <f>O8*L5</f>
        <v>0</v>
      </c>
      <c r="S8" s="182"/>
      <c r="T8" s="182"/>
    </row>
    <row r="9" spans="1:20" s="13" customFormat="1" ht="12" customHeight="1" x14ac:dyDescent="0.2">
      <c r="A9" s="661"/>
      <c r="B9" s="395"/>
      <c r="C9" s="395"/>
      <c r="D9" s="374"/>
      <c r="E9" s="461">
        <v>99</v>
      </c>
      <c r="F9" s="643" t="s">
        <v>71</v>
      </c>
      <c r="G9" s="706"/>
      <c r="H9" s="706"/>
      <c r="I9" s="706"/>
      <c r="J9" s="644"/>
      <c r="K9" s="645"/>
      <c r="L9" s="707"/>
      <c r="M9" s="691">
        <f>SUM(M5:M8)</f>
        <v>0</v>
      </c>
      <c r="N9" s="182"/>
      <c r="O9" s="445"/>
      <c r="P9" s="445"/>
      <c r="Q9" s="445"/>
      <c r="R9" s="446"/>
      <c r="S9" s="182"/>
      <c r="T9" s="182"/>
    </row>
    <row r="10" spans="1:20" s="13" customFormat="1" ht="12" customHeight="1" thickBot="1" x14ac:dyDescent="0.25">
      <c r="A10" s="693"/>
      <c r="B10" s="387" t="s">
        <v>26</v>
      </c>
      <c r="C10" s="387" t="s">
        <v>27</v>
      </c>
      <c r="D10" s="390" t="s">
        <v>28</v>
      </c>
      <c r="E10" s="572"/>
      <c r="F10" s="708"/>
      <c r="G10" s="709"/>
      <c r="H10" s="709"/>
      <c r="I10" s="709"/>
      <c r="J10" s="645"/>
      <c r="K10" s="645"/>
      <c r="L10" s="710"/>
      <c r="M10" s="692"/>
      <c r="N10" s="182"/>
      <c r="O10" s="445">
        <f>TRUNC(P10,2)</f>
        <v>0</v>
      </c>
      <c r="P10" s="445">
        <f>(I11+I12)/2</f>
        <v>0</v>
      </c>
      <c r="Q10" s="280"/>
      <c r="R10" s="446">
        <f>O10*L9</f>
        <v>0</v>
      </c>
      <c r="S10" s="182"/>
      <c r="T10" s="182"/>
    </row>
    <row r="11" spans="1:20" s="13" customFormat="1" ht="12" customHeight="1" x14ac:dyDescent="0.2">
      <c r="A11" s="694"/>
      <c r="B11" s="388"/>
      <c r="C11" s="388"/>
      <c r="D11" s="391"/>
      <c r="E11" s="711" t="s">
        <v>150</v>
      </c>
      <c r="F11" s="712"/>
      <c r="G11" s="712"/>
      <c r="H11" s="718" t="str">
        <f>S39</f>
        <v/>
      </c>
      <c r="I11" s="719"/>
      <c r="J11" s="719"/>
      <c r="K11" s="719"/>
      <c r="L11" s="719"/>
      <c r="M11" s="720"/>
      <c r="N11" s="182"/>
      <c r="O11" s="445"/>
      <c r="P11" s="445"/>
      <c r="Q11" s="280"/>
      <c r="R11" s="446"/>
      <c r="S11" s="182"/>
      <c r="T11" s="182"/>
    </row>
    <row r="12" spans="1:20" s="13" customFormat="1" ht="12" customHeight="1" thickBot="1" x14ac:dyDescent="0.25">
      <c r="A12" s="694"/>
      <c r="B12" s="388"/>
      <c r="C12" s="388"/>
      <c r="D12" s="391"/>
      <c r="E12" s="174"/>
      <c r="F12" s="175"/>
      <c r="G12" s="175"/>
      <c r="H12" s="721"/>
      <c r="I12" s="721"/>
      <c r="J12" s="721"/>
      <c r="K12" s="721"/>
      <c r="L12" s="721"/>
      <c r="M12" s="722"/>
      <c r="N12" s="182"/>
      <c r="O12" s="445">
        <f>TRUNC(P12,2)</f>
        <v>0</v>
      </c>
      <c r="P12" s="445">
        <f>(I16+I17)/2</f>
        <v>0</v>
      </c>
      <c r="Q12" s="280"/>
      <c r="R12" s="446">
        <f>O12*L16</f>
        <v>0</v>
      </c>
      <c r="S12" s="182"/>
      <c r="T12" s="182"/>
    </row>
    <row r="13" spans="1:20" s="13" customFormat="1" ht="12" customHeight="1" x14ac:dyDescent="0.2">
      <c r="A13" s="694"/>
      <c r="B13" s="389"/>
      <c r="C13" s="389"/>
      <c r="D13" s="392"/>
      <c r="E13" s="4" t="s">
        <v>5</v>
      </c>
      <c r="F13" s="404" t="s">
        <v>6</v>
      </c>
      <c r="G13" s="683"/>
      <c r="H13" s="683"/>
      <c r="I13" s="683"/>
      <c r="J13" s="683"/>
      <c r="K13" s="684"/>
      <c r="L13" s="283" t="s">
        <v>8</v>
      </c>
      <c r="M13" s="57" t="s">
        <v>9</v>
      </c>
      <c r="N13" s="182"/>
      <c r="O13" s="445"/>
      <c r="P13" s="445"/>
      <c r="Q13" s="280"/>
      <c r="R13" s="446"/>
      <c r="S13" s="182"/>
      <c r="T13" s="182"/>
    </row>
    <row r="14" spans="1:20" s="13" customFormat="1" ht="12" customHeight="1" x14ac:dyDescent="0.2">
      <c r="A14" s="285"/>
      <c r="B14" s="64"/>
      <c r="C14" s="64"/>
      <c r="D14" s="65"/>
      <c r="E14" s="698" t="s">
        <v>10</v>
      </c>
      <c r="F14" s="407" t="s">
        <v>11</v>
      </c>
      <c r="G14" s="685"/>
      <c r="H14" s="685"/>
      <c r="I14" s="685"/>
      <c r="J14" s="685"/>
      <c r="K14" s="685"/>
      <c r="L14" s="407" t="s">
        <v>13</v>
      </c>
      <c r="M14" s="700" t="s">
        <v>14</v>
      </c>
      <c r="N14" s="182"/>
      <c r="O14" s="445">
        <f>TRUNC(P14,2)</f>
        <v>0</v>
      </c>
      <c r="P14" s="445">
        <f>(I20+I21)/2</f>
        <v>0</v>
      </c>
      <c r="Q14" s="281"/>
      <c r="R14" s="446">
        <f>O14*L15</f>
        <v>0</v>
      </c>
      <c r="S14" s="242"/>
      <c r="T14" s="182"/>
    </row>
    <row r="15" spans="1:20" s="13" customFormat="1" ht="12" customHeight="1" thickBot="1" x14ac:dyDescent="0.25">
      <c r="A15" s="675"/>
      <c r="B15" s="379" t="s">
        <v>37</v>
      </c>
      <c r="C15" s="379"/>
      <c r="D15" s="374" t="s">
        <v>38</v>
      </c>
      <c r="E15" s="699"/>
      <c r="F15" s="697"/>
      <c r="G15" s="623"/>
      <c r="H15" s="623"/>
      <c r="I15" s="623"/>
      <c r="J15" s="623"/>
      <c r="K15" s="623"/>
      <c r="L15" s="697"/>
      <c r="M15" s="701"/>
      <c r="N15" s="182"/>
      <c r="O15" s="445"/>
      <c r="P15" s="445"/>
      <c r="Q15" s="453"/>
      <c r="R15" s="446"/>
      <c r="S15" s="182"/>
      <c r="T15" s="182"/>
    </row>
    <row r="16" spans="1:20" s="13" customFormat="1" ht="7.5" customHeight="1" x14ac:dyDescent="0.2">
      <c r="A16" s="676"/>
      <c r="B16" s="379"/>
      <c r="C16" s="379"/>
      <c r="D16" s="374"/>
      <c r="E16" s="635" t="s">
        <v>80</v>
      </c>
      <c r="F16" s="636"/>
      <c r="G16" s="636"/>
      <c r="H16" s="636"/>
      <c r="I16" s="636"/>
      <c r="J16" s="636"/>
      <c r="K16" s="636"/>
      <c r="L16" s="636"/>
      <c r="M16" s="637"/>
      <c r="N16" s="182"/>
      <c r="O16" s="202">
        <f>TRUNC(P16,2)</f>
        <v>0</v>
      </c>
      <c r="P16" s="202">
        <f>I23</f>
        <v>0</v>
      </c>
      <c r="Q16" s="453"/>
      <c r="R16" s="202">
        <f>L22*P16</f>
        <v>0</v>
      </c>
      <c r="S16" s="182"/>
      <c r="T16" s="182"/>
    </row>
    <row r="17" spans="1:20" s="13" customFormat="1" ht="7.5" customHeight="1" x14ac:dyDescent="0.2">
      <c r="A17" s="676"/>
      <c r="B17" s="379" t="s">
        <v>42</v>
      </c>
      <c r="C17" s="379" t="s">
        <v>43</v>
      </c>
      <c r="D17" s="374" t="s">
        <v>44</v>
      </c>
      <c r="E17" s="638"/>
      <c r="F17" s="639"/>
      <c r="G17" s="639"/>
      <c r="H17" s="639"/>
      <c r="I17" s="639"/>
      <c r="J17" s="639"/>
      <c r="K17" s="639"/>
      <c r="L17" s="639"/>
      <c r="M17" s="640"/>
      <c r="N17" s="182"/>
      <c r="O17" s="445"/>
      <c r="P17" s="446"/>
      <c r="Q17" s="453"/>
      <c r="R17" s="446"/>
      <c r="S17" s="182"/>
      <c r="T17" s="182"/>
    </row>
    <row r="18" spans="1:20" s="13" customFormat="1" ht="7.5" customHeight="1" thickBot="1" x14ac:dyDescent="0.25">
      <c r="A18" s="676"/>
      <c r="B18" s="379"/>
      <c r="C18" s="379"/>
      <c r="D18" s="374"/>
      <c r="E18" s="679"/>
      <c r="F18" s="680"/>
      <c r="G18" s="680"/>
      <c r="H18" s="680"/>
      <c r="I18" s="680"/>
      <c r="J18" s="680"/>
      <c r="K18" s="680"/>
      <c r="L18" s="680"/>
      <c r="M18" s="681"/>
      <c r="N18" s="182"/>
      <c r="O18" s="445"/>
      <c r="P18" s="446"/>
      <c r="Q18" s="453"/>
      <c r="R18" s="446"/>
      <c r="S18" s="182"/>
      <c r="T18" s="182"/>
    </row>
    <row r="19" spans="1:20" s="13" customFormat="1" ht="9" customHeight="1" x14ac:dyDescent="0.2">
      <c r="A19" s="677"/>
      <c r="B19" s="379"/>
      <c r="C19" s="379"/>
      <c r="D19" s="374"/>
      <c r="E19" s="572">
        <v>96</v>
      </c>
      <c r="F19" s="649" t="s">
        <v>81</v>
      </c>
      <c r="G19" s="650"/>
      <c r="H19" s="651"/>
      <c r="I19" s="672"/>
      <c r="J19" s="606"/>
      <c r="K19" s="705"/>
      <c r="L19" s="660">
        <v>1</v>
      </c>
      <c r="M19" s="641"/>
      <c r="N19" s="182"/>
      <c r="O19" s="445"/>
      <c r="P19" s="446"/>
      <c r="Q19" s="453"/>
      <c r="R19" s="446"/>
      <c r="S19" s="182"/>
      <c r="T19" s="182"/>
    </row>
    <row r="20" spans="1:20" s="13" customFormat="1" ht="9" customHeight="1" x14ac:dyDescent="0.2">
      <c r="A20" s="678" t="s">
        <v>143</v>
      </c>
      <c r="B20" s="379" t="s">
        <v>51</v>
      </c>
      <c r="C20" s="379"/>
      <c r="D20" s="374"/>
      <c r="E20" s="462"/>
      <c r="F20" s="652"/>
      <c r="G20" s="442"/>
      <c r="H20" s="653"/>
      <c r="I20" s="656"/>
      <c r="J20" s="360"/>
      <c r="K20" s="362"/>
      <c r="L20" s="682"/>
      <c r="M20" s="642"/>
      <c r="N20" s="182"/>
      <c r="O20" s="280"/>
      <c r="P20" s="279"/>
      <c r="Q20" s="281"/>
      <c r="R20" s="279"/>
      <c r="S20" s="182"/>
      <c r="T20" s="182"/>
    </row>
    <row r="21" spans="1:20" s="13" customFormat="1" ht="9" customHeight="1" x14ac:dyDescent="0.2">
      <c r="A21" s="678"/>
      <c r="B21" s="379"/>
      <c r="C21" s="379"/>
      <c r="D21" s="374"/>
      <c r="E21" s="461">
        <v>97</v>
      </c>
      <c r="F21" s="649" t="s">
        <v>82</v>
      </c>
      <c r="G21" s="650"/>
      <c r="H21" s="650"/>
      <c r="I21" s="656"/>
      <c r="J21" s="360"/>
      <c r="K21" s="362"/>
      <c r="L21" s="682"/>
      <c r="M21" s="642"/>
      <c r="N21" s="182"/>
      <c r="O21" s="445"/>
      <c r="P21" s="446"/>
      <c r="Q21" s="453"/>
      <c r="R21" s="446"/>
      <c r="S21" s="182"/>
      <c r="T21" s="182"/>
    </row>
    <row r="22" spans="1:20" s="13" customFormat="1" ht="15" customHeight="1" x14ac:dyDescent="0.2">
      <c r="A22" s="114" t="s">
        <v>144</v>
      </c>
      <c r="B22" s="67" t="s">
        <v>56</v>
      </c>
      <c r="C22" s="379"/>
      <c r="D22" s="374"/>
      <c r="E22" s="572"/>
      <c r="F22" s="649"/>
      <c r="G22" s="650"/>
      <c r="H22" s="650"/>
      <c r="I22" s="656"/>
      <c r="J22" s="360"/>
      <c r="K22" s="362"/>
      <c r="L22" s="682"/>
      <c r="M22" s="642"/>
      <c r="N22" s="182"/>
      <c r="O22" s="445"/>
      <c r="P22" s="445"/>
      <c r="Q22" s="453"/>
      <c r="R22" s="446"/>
      <c r="S22" s="242"/>
      <c r="T22" s="182"/>
    </row>
    <row r="23" spans="1:20" s="13" customFormat="1" ht="12" customHeight="1" thickBot="1" x14ac:dyDescent="0.25">
      <c r="A23" s="661"/>
      <c r="B23" s="368" t="s">
        <v>58</v>
      </c>
      <c r="C23" s="369"/>
      <c r="D23" s="374" t="s">
        <v>59</v>
      </c>
      <c r="E23" s="278">
        <v>83</v>
      </c>
      <c r="F23" s="647" t="s">
        <v>83</v>
      </c>
      <c r="G23" s="648"/>
      <c r="H23" s="648"/>
      <c r="I23" s="68"/>
      <c r="J23" s="695"/>
      <c r="K23" s="696"/>
      <c r="L23" s="69"/>
      <c r="M23" s="70"/>
      <c r="N23" s="182"/>
      <c r="O23" s="85"/>
      <c r="P23" s="85"/>
      <c r="Q23" s="281"/>
      <c r="R23" s="187"/>
      <c r="S23" s="182"/>
      <c r="T23" s="182"/>
    </row>
    <row r="24" spans="1:20" s="13" customFormat="1" ht="12" customHeight="1" thickBot="1" x14ac:dyDescent="0.25">
      <c r="A24" s="661"/>
      <c r="B24" s="370"/>
      <c r="C24" s="371"/>
      <c r="D24" s="374"/>
      <c r="E24" s="277">
        <v>99</v>
      </c>
      <c r="F24" s="643" t="s">
        <v>71</v>
      </c>
      <c r="G24" s="644"/>
      <c r="H24" s="644"/>
      <c r="I24" s="645"/>
      <c r="J24" s="644"/>
      <c r="K24" s="644"/>
      <c r="L24" s="646"/>
      <c r="M24" s="71"/>
      <c r="N24" s="182"/>
      <c r="O24" s="85"/>
      <c r="P24" s="85"/>
      <c r="Q24" s="281"/>
      <c r="R24" s="187"/>
      <c r="S24" s="182"/>
      <c r="T24" s="182"/>
    </row>
    <row r="25" spans="1:20" s="13" customFormat="1" ht="24" customHeight="1" thickBot="1" x14ac:dyDescent="0.25">
      <c r="A25" s="661"/>
      <c r="B25" s="370"/>
      <c r="C25" s="371"/>
      <c r="D25" s="374"/>
      <c r="E25" s="664" t="s">
        <v>67</v>
      </c>
      <c r="F25" s="665"/>
      <c r="G25" s="665"/>
      <c r="H25" s="665"/>
      <c r="I25" s="665"/>
      <c r="J25" s="665"/>
      <c r="K25" s="665"/>
      <c r="L25" s="665"/>
      <c r="M25" s="666"/>
      <c r="N25" s="182"/>
      <c r="O25" s="85"/>
      <c r="P25" s="85"/>
      <c r="Q25" s="281"/>
      <c r="R25" s="205"/>
      <c r="T25" s="182"/>
    </row>
    <row r="26" spans="1:20" ht="9" customHeight="1" x14ac:dyDescent="0.2">
      <c r="A26" s="661"/>
      <c r="B26" s="370"/>
      <c r="C26" s="371"/>
      <c r="D26" s="374"/>
      <c r="E26" s="635" t="s">
        <v>84</v>
      </c>
      <c r="F26" s="636"/>
      <c r="G26" s="636"/>
      <c r="H26" s="636"/>
      <c r="I26" s="636"/>
      <c r="J26" s="636"/>
      <c r="K26" s="636"/>
      <c r="L26" s="636"/>
      <c r="M26" s="637"/>
      <c r="O26" s="85"/>
      <c r="P26" s="280"/>
      <c r="Q26" s="280"/>
      <c r="R26" s="280"/>
      <c r="S26" s="182"/>
    </row>
    <row r="27" spans="1:20" ht="9" customHeight="1" x14ac:dyDescent="0.2">
      <c r="A27" s="661"/>
      <c r="B27" s="370"/>
      <c r="C27" s="371"/>
      <c r="D27" s="374"/>
      <c r="E27" s="638"/>
      <c r="F27" s="639"/>
      <c r="G27" s="639"/>
      <c r="H27" s="639"/>
      <c r="I27" s="639"/>
      <c r="J27" s="639"/>
      <c r="K27" s="639"/>
      <c r="L27" s="639"/>
      <c r="M27" s="640"/>
      <c r="O27" s="85"/>
      <c r="P27" s="280" t="str">
        <f>IF(A2&gt;17.99,P33,"")</f>
        <v/>
      </c>
      <c r="Q27" s="280" t="str">
        <f>IF(A2&gt;18.49,Q33,"")</f>
        <v/>
      </c>
      <c r="R27" s="280" t="str">
        <f>IF(A2&gt;18.99,R33,"")</f>
        <v/>
      </c>
      <c r="S27" s="182"/>
    </row>
    <row r="28" spans="1:20" ht="9" customHeight="1" thickBot="1" x14ac:dyDescent="0.25">
      <c r="A28" s="661"/>
      <c r="B28" s="370"/>
      <c r="C28" s="371"/>
      <c r="D28" s="374"/>
      <c r="E28" s="638"/>
      <c r="F28" s="639"/>
      <c r="G28" s="639"/>
      <c r="H28" s="639"/>
      <c r="I28" s="639"/>
      <c r="J28" s="639"/>
      <c r="K28" s="639"/>
      <c r="L28" s="639"/>
      <c r="M28" s="640"/>
      <c r="O28" s="85"/>
      <c r="P28" s="280"/>
      <c r="Q28" s="279">
        <f>MIN(P27,Q27,R27)</f>
        <v>0</v>
      </c>
      <c r="R28" s="280"/>
      <c r="S28" s="182"/>
    </row>
    <row r="29" spans="1:20" ht="10.5" customHeight="1" x14ac:dyDescent="0.2">
      <c r="A29" s="661"/>
      <c r="B29" s="370"/>
      <c r="C29" s="371"/>
      <c r="D29" s="374"/>
      <c r="E29" s="634">
        <v>96</v>
      </c>
      <c r="F29" s="669" t="s">
        <v>81</v>
      </c>
      <c r="G29" s="670"/>
      <c r="H29" s="671"/>
      <c r="I29" s="672"/>
      <c r="J29" s="673"/>
      <c r="K29" s="674"/>
      <c r="L29" s="658"/>
      <c r="M29" s="657"/>
      <c r="O29" s="85"/>
      <c r="P29" s="201"/>
      <c r="Q29" s="201" t="str">
        <f>ROMAN(Q28)</f>
        <v/>
      </c>
      <c r="R29" s="201"/>
      <c r="S29" s="85"/>
    </row>
    <row r="30" spans="1:20" ht="10.5" customHeight="1" x14ac:dyDescent="0.2">
      <c r="A30" s="661"/>
      <c r="B30" s="370"/>
      <c r="C30" s="371"/>
      <c r="D30" s="374"/>
      <c r="E30" s="462"/>
      <c r="F30" s="652"/>
      <c r="G30" s="442"/>
      <c r="H30" s="653"/>
      <c r="I30" s="656"/>
      <c r="J30" s="360"/>
      <c r="K30" s="362"/>
      <c r="L30" s="659"/>
      <c r="M30" s="642"/>
      <c r="O30" s="85"/>
      <c r="P30" s="280"/>
      <c r="Q30" s="280"/>
      <c r="R30" s="280"/>
      <c r="S30" s="182"/>
    </row>
    <row r="31" spans="1:20" ht="10.5" customHeight="1" x14ac:dyDescent="0.2">
      <c r="A31" s="661"/>
      <c r="B31" s="370"/>
      <c r="C31" s="371"/>
      <c r="D31" s="374"/>
      <c r="E31" s="461">
        <v>97</v>
      </c>
      <c r="F31" s="649" t="s">
        <v>82</v>
      </c>
      <c r="G31" s="650"/>
      <c r="H31" s="650"/>
      <c r="I31" s="656"/>
      <c r="J31" s="360"/>
      <c r="K31" s="362"/>
      <c r="L31" s="659"/>
      <c r="M31" s="642"/>
      <c r="O31" s="182"/>
      <c r="P31" s="280"/>
      <c r="Q31" s="280"/>
      <c r="R31" s="280"/>
      <c r="S31" s="182"/>
    </row>
    <row r="32" spans="1:20" ht="10.5" customHeight="1" x14ac:dyDescent="0.2">
      <c r="A32" s="661"/>
      <c r="B32" s="370"/>
      <c r="C32" s="371"/>
      <c r="D32" s="374"/>
      <c r="E32" s="572"/>
      <c r="F32" s="649"/>
      <c r="G32" s="650"/>
      <c r="H32" s="650"/>
      <c r="I32" s="656"/>
      <c r="J32" s="360"/>
      <c r="K32" s="362"/>
      <c r="L32" s="659"/>
      <c r="M32" s="642"/>
      <c r="P32" s="280"/>
      <c r="Q32" s="280"/>
      <c r="R32" s="280"/>
      <c r="S32" s="182"/>
    </row>
    <row r="33" spans="1:19" ht="10.5" customHeight="1" x14ac:dyDescent="0.2">
      <c r="A33" s="661"/>
      <c r="B33" s="372"/>
      <c r="C33" s="373"/>
      <c r="D33" s="374"/>
      <c r="E33" s="398">
        <v>98</v>
      </c>
      <c r="F33" s="375" t="s">
        <v>85</v>
      </c>
      <c r="G33" s="375"/>
      <c r="H33" s="376"/>
      <c r="I33" s="656"/>
      <c r="J33" s="360"/>
      <c r="K33" s="362"/>
      <c r="L33" s="659"/>
      <c r="M33" s="642"/>
      <c r="P33" s="280">
        <v>3</v>
      </c>
      <c r="Q33" s="280">
        <v>2</v>
      </c>
      <c r="R33" s="280">
        <v>1</v>
      </c>
      <c r="S33" s="182"/>
    </row>
    <row r="34" spans="1:19" ht="12.75" customHeight="1" x14ac:dyDescent="0.2">
      <c r="A34" s="523"/>
      <c r="B34" s="334" t="s">
        <v>68</v>
      </c>
      <c r="C34" s="334" t="s">
        <v>69</v>
      </c>
      <c r="D34" s="336" t="s">
        <v>70</v>
      </c>
      <c r="E34" s="398"/>
      <c r="F34" s="375"/>
      <c r="G34" s="375"/>
      <c r="H34" s="376"/>
      <c r="I34" s="656"/>
      <c r="J34" s="360"/>
      <c r="K34" s="362"/>
      <c r="L34" s="660"/>
      <c r="M34" s="642"/>
      <c r="P34" s="280"/>
      <c r="Q34" s="280"/>
      <c r="R34" s="280"/>
      <c r="S34" s="182"/>
    </row>
    <row r="35" spans="1:19" ht="12.75" customHeight="1" thickBot="1" x14ac:dyDescent="0.25">
      <c r="A35" s="523"/>
      <c r="B35" s="334"/>
      <c r="C35" s="334"/>
      <c r="D35" s="336"/>
      <c r="E35" s="72">
        <v>83</v>
      </c>
      <c r="F35" s="662" t="s">
        <v>83</v>
      </c>
      <c r="G35" s="662"/>
      <c r="H35" s="663"/>
      <c r="I35" s="73"/>
      <c r="J35" s="667"/>
      <c r="K35" s="668"/>
      <c r="L35" s="74"/>
      <c r="M35" s="75"/>
      <c r="P35" s="280"/>
      <c r="Q35" s="280"/>
      <c r="R35" s="280"/>
      <c r="S35" s="182"/>
    </row>
    <row r="36" spans="1:19" ht="12.75" customHeight="1" thickBot="1" x14ac:dyDescent="0.25">
      <c r="A36" s="523"/>
      <c r="B36" s="334"/>
      <c r="C36" s="334"/>
      <c r="D36" s="336"/>
      <c r="E36" s="44">
        <v>99</v>
      </c>
      <c r="F36" s="525" t="s">
        <v>71</v>
      </c>
      <c r="G36" s="526"/>
      <c r="H36" s="526"/>
      <c r="I36" s="526"/>
      <c r="J36" s="526"/>
      <c r="K36" s="526"/>
      <c r="L36" s="526"/>
      <c r="M36" s="76"/>
      <c r="P36" s="276" t="s">
        <v>146</v>
      </c>
      <c r="Q36" s="280"/>
      <c r="R36" s="280"/>
      <c r="S36" s="182" t="str">
        <f>(IF(Q28=3,P36,""))</f>
        <v/>
      </c>
    </row>
    <row r="37" spans="1:19" ht="12.75" customHeight="1" thickBot="1" x14ac:dyDescent="0.25">
      <c r="A37" s="523"/>
      <c r="B37" s="334"/>
      <c r="C37" s="334"/>
      <c r="D37" s="336"/>
      <c r="E37" s="664" t="s">
        <v>67</v>
      </c>
      <c r="F37" s="665"/>
      <c r="G37" s="665"/>
      <c r="H37" s="665"/>
      <c r="I37" s="665"/>
      <c r="J37" s="665"/>
      <c r="K37" s="665"/>
      <c r="L37" s="665"/>
      <c r="M37" s="666"/>
      <c r="P37" s="276" t="s">
        <v>147</v>
      </c>
      <c r="Q37" s="280"/>
      <c r="R37" s="280"/>
      <c r="S37" s="182" t="str">
        <f>(IF(Q28=2,P37,""))</f>
        <v/>
      </c>
    </row>
    <row r="38" spans="1:19" ht="12.75" customHeight="1" thickBot="1" x14ac:dyDescent="0.25">
      <c r="A38" s="523"/>
      <c r="B38" s="334"/>
      <c r="C38" s="334"/>
      <c r="D38" s="336"/>
      <c r="E38" s="44">
        <v>99</v>
      </c>
      <c r="F38" s="525" t="s">
        <v>71</v>
      </c>
      <c r="G38" s="526"/>
      <c r="H38" s="526"/>
      <c r="I38" s="526"/>
      <c r="J38" s="526"/>
      <c r="K38" s="526"/>
      <c r="L38" s="526"/>
      <c r="M38" s="76">
        <f>M9</f>
        <v>0</v>
      </c>
      <c r="P38" s="276" t="s">
        <v>190</v>
      </c>
      <c r="Q38" s="280"/>
      <c r="R38" s="280"/>
      <c r="S38" s="182" t="str">
        <f>(IF(Q28=1,P38,""))</f>
        <v/>
      </c>
    </row>
    <row r="39" spans="1:19" ht="24.75" customHeight="1" x14ac:dyDescent="0.2">
      <c r="A39" s="523"/>
      <c r="B39" s="334" t="s">
        <v>72</v>
      </c>
      <c r="C39" s="334"/>
      <c r="D39" s="336" t="s">
        <v>73</v>
      </c>
      <c r="E39" s="338" t="s">
        <v>228</v>
      </c>
      <c r="F39" s="339"/>
      <c r="G39" s="339"/>
      <c r="H39" s="340">
        <v>41733</v>
      </c>
      <c r="I39" s="341"/>
      <c r="J39" s="342" t="s">
        <v>229</v>
      </c>
      <c r="K39" s="518"/>
      <c r="L39" s="328"/>
      <c r="M39" s="329"/>
      <c r="N39" s="195"/>
      <c r="Q39" s="522"/>
      <c r="R39" s="522"/>
      <c r="S39" s="3" t="str">
        <f>CONCATENATE(S38,S37,S36)</f>
        <v/>
      </c>
    </row>
    <row r="40" spans="1:19" ht="10.5" customHeight="1" thickBot="1" x14ac:dyDescent="0.25">
      <c r="A40" s="527"/>
      <c r="B40" s="335"/>
      <c r="C40" s="335"/>
      <c r="D40" s="337"/>
      <c r="E40" s="521" t="s">
        <v>74</v>
      </c>
      <c r="F40" s="330"/>
      <c r="G40" s="330"/>
      <c r="H40" s="330" t="s">
        <v>75</v>
      </c>
      <c r="I40" s="330"/>
      <c r="J40" s="330" t="s">
        <v>76</v>
      </c>
      <c r="K40" s="330"/>
      <c r="L40" s="330" t="s">
        <v>77</v>
      </c>
      <c r="M40" s="331"/>
      <c r="N40" s="195"/>
      <c r="O40" s="195"/>
      <c r="P40" s="195"/>
      <c r="Q40" s="195"/>
      <c r="R40" s="196"/>
      <c r="S40" s="3"/>
    </row>
    <row r="41" spans="1:19" x14ac:dyDescent="0.2">
      <c r="E41" s="46"/>
      <c r="F41" s="46"/>
      <c r="G41" s="46"/>
      <c r="H41" s="46"/>
      <c r="J41" s="46"/>
      <c r="K41" s="51"/>
      <c r="L41" s="46"/>
      <c r="N41" s="195"/>
      <c r="R41" s="122"/>
    </row>
    <row r="42" spans="1:19" ht="15.75" x14ac:dyDescent="0.2">
      <c r="E42" s="46"/>
      <c r="F42" s="46"/>
      <c r="G42" s="46"/>
      <c r="H42" s="46"/>
      <c r="J42" s="46"/>
      <c r="K42" s="51"/>
      <c r="L42" s="46"/>
      <c r="N42" s="195"/>
      <c r="R42" s="194"/>
    </row>
    <row r="43" spans="1:19" x14ac:dyDescent="0.2">
      <c r="E43" s="46"/>
      <c r="F43" s="46"/>
      <c r="G43" s="46"/>
      <c r="H43" s="46"/>
      <c r="J43" s="46"/>
      <c r="K43" s="51"/>
      <c r="L43" s="46"/>
      <c r="N43" s="195"/>
      <c r="Q43" s="422"/>
      <c r="R43" s="422"/>
    </row>
    <row r="44" spans="1:19" x14ac:dyDescent="0.2">
      <c r="E44" s="46"/>
      <c r="F44" s="46"/>
      <c r="G44" s="46"/>
      <c r="H44" s="46"/>
      <c r="J44" s="46"/>
      <c r="K44" s="51"/>
      <c r="L44" s="46"/>
      <c r="N44" s="195"/>
      <c r="Q44" s="522"/>
      <c r="R44" s="522"/>
    </row>
    <row r="45" spans="1:19" x14ac:dyDescent="0.2">
      <c r="E45" s="46"/>
      <c r="F45" s="46"/>
      <c r="G45" s="46"/>
      <c r="H45" s="46"/>
      <c r="J45" s="46"/>
      <c r="K45" s="51"/>
      <c r="L45" s="46"/>
      <c r="N45" s="195"/>
      <c r="O45" s="195"/>
      <c r="P45" s="195"/>
      <c r="Q45" s="195"/>
      <c r="R45" s="196"/>
    </row>
    <row r="46" spans="1:19" x14ac:dyDescent="0.2">
      <c r="E46" s="46"/>
      <c r="F46" s="46"/>
      <c r="G46" s="46"/>
      <c r="H46" s="46"/>
      <c r="J46" s="46"/>
      <c r="K46" s="51"/>
      <c r="L46" s="46"/>
      <c r="N46" s="195"/>
      <c r="O46" s="195"/>
      <c r="P46" s="195"/>
      <c r="Q46" s="195"/>
      <c r="R46" s="196"/>
    </row>
    <row r="47" spans="1:19" x14ac:dyDescent="0.2">
      <c r="E47" s="46"/>
      <c r="F47" s="46"/>
      <c r="G47" s="46"/>
      <c r="H47" s="46"/>
      <c r="J47" s="46"/>
      <c r="K47" s="51"/>
      <c r="L47" s="46"/>
      <c r="N47" s="195"/>
      <c r="O47" s="195"/>
      <c r="P47" s="195"/>
      <c r="Q47" s="195"/>
      <c r="R47" s="196"/>
    </row>
    <row r="48" spans="1:19" x14ac:dyDescent="0.2">
      <c r="E48" s="46"/>
      <c r="F48" s="46"/>
      <c r="G48" s="46"/>
      <c r="H48" s="46"/>
      <c r="J48" s="46"/>
      <c r="K48" s="51"/>
      <c r="L48" s="46"/>
      <c r="N48" s="195"/>
      <c r="O48" s="195"/>
      <c r="P48" s="195"/>
      <c r="Q48" s="195"/>
      <c r="R48" s="196"/>
    </row>
    <row r="49" spans="5:18" x14ac:dyDescent="0.2">
      <c r="E49" s="46"/>
      <c r="F49" s="46"/>
      <c r="G49" s="46"/>
      <c r="H49" s="46"/>
      <c r="J49" s="46"/>
      <c r="K49" s="51"/>
      <c r="L49" s="46"/>
      <c r="N49" s="195"/>
      <c r="O49" s="195"/>
      <c r="P49" s="195"/>
      <c r="Q49" s="195"/>
      <c r="R49" s="196"/>
    </row>
    <row r="50" spans="5:18" x14ac:dyDescent="0.2">
      <c r="E50" s="46"/>
      <c r="F50" s="46"/>
      <c r="G50" s="46"/>
      <c r="H50" s="46"/>
      <c r="J50" s="46"/>
      <c r="K50" s="51"/>
      <c r="L50" s="46"/>
      <c r="N50" s="195"/>
      <c r="O50" s="195"/>
      <c r="P50" s="195"/>
      <c r="Q50" s="195"/>
      <c r="R50" s="196"/>
    </row>
    <row r="51" spans="5:18" x14ac:dyDescent="0.2">
      <c r="E51" s="46"/>
      <c r="F51" s="46"/>
      <c r="G51" s="46"/>
      <c r="H51" s="46"/>
      <c r="J51" s="46"/>
      <c r="K51" s="51"/>
      <c r="L51" s="46"/>
      <c r="N51" s="195"/>
      <c r="O51" s="195"/>
      <c r="P51" s="195"/>
      <c r="Q51" s="195"/>
      <c r="R51" s="196"/>
    </row>
    <row r="52" spans="5:18" x14ac:dyDescent="0.2">
      <c r="E52" s="46"/>
      <c r="F52" s="46"/>
      <c r="G52" s="46"/>
      <c r="H52" s="46"/>
      <c r="J52" s="46"/>
      <c r="K52" s="51"/>
      <c r="L52" s="46"/>
      <c r="N52" s="195"/>
      <c r="O52" s="195"/>
      <c r="P52" s="195"/>
      <c r="Q52" s="195"/>
      <c r="R52" s="196"/>
    </row>
    <row r="53" spans="5:18" x14ac:dyDescent="0.2">
      <c r="E53" s="46"/>
      <c r="F53" s="46"/>
      <c r="G53" s="46"/>
      <c r="H53" s="46"/>
      <c r="J53" s="46"/>
      <c r="K53" s="51"/>
      <c r="L53" s="46"/>
      <c r="N53" s="195"/>
      <c r="O53" s="195"/>
      <c r="P53" s="195"/>
      <c r="Q53" s="195"/>
      <c r="R53" s="196"/>
    </row>
    <row r="54" spans="5:18" x14ac:dyDescent="0.2">
      <c r="E54" s="46"/>
      <c r="F54" s="46"/>
      <c r="G54" s="46"/>
      <c r="H54" s="46"/>
      <c r="J54" s="46"/>
      <c r="K54" s="51"/>
      <c r="L54" s="46"/>
      <c r="N54" s="195"/>
      <c r="O54" s="195"/>
      <c r="P54" s="195"/>
      <c r="Q54" s="195"/>
      <c r="R54" s="196"/>
    </row>
    <row r="55" spans="5:18" ht="25.5" customHeight="1" x14ac:dyDescent="0.2">
      <c r="E55" s="46"/>
      <c r="F55" s="46"/>
      <c r="G55" s="46"/>
      <c r="H55" s="46"/>
      <c r="J55" s="46"/>
      <c r="K55" s="51"/>
      <c r="L55" s="46"/>
      <c r="N55" s="195"/>
      <c r="O55" s="195"/>
      <c r="P55" s="195"/>
      <c r="Q55" s="195"/>
      <c r="R55" s="196"/>
    </row>
    <row r="56" spans="5:18" ht="27" customHeight="1" x14ac:dyDescent="0.2">
      <c r="E56" s="46"/>
      <c r="F56" s="46"/>
      <c r="G56" s="46"/>
      <c r="H56" s="46"/>
      <c r="J56" s="46"/>
      <c r="K56" s="51"/>
      <c r="L56" s="46"/>
      <c r="N56" s="195"/>
      <c r="O56" s="195"/>
      <c r="P56" s="195"/>
      <c r="Q56" s="195"/>
      <c r="R56" s="196"/>
    </row>
    <row r="57" spans="5:18" x14ac:dyDescent="0.2">
      <c r="O57" s="195"/>
      <c r="P57" s="195"/>
      <c r="Q57" s="195"/>
      <c r="R57" s="196"/>
    </row>
    <row r="58" spans="5:18" x14ac:dyDescent="0.2">
      <c r="O58" s="195"/>
      <c r="P58" s="195"/>
      <c r="Q58" s="195"/>
      <c r="R58" s="196"/>
    </row>
    <row r="59" spans="5:18" x14ac:dyDescent="0.2">
      <c r="O59" s="195"/>
      <c r="P59" s="195"/>
      <c r="Q59" s="195"/>
      <c r="R59" s="196"/>
    </row>
    <row r="60" spans="5:18" x14ac:dyDescent="0.2">
      <c r="O60" s="195"/>
      <c r="P60" s="195"/>
      <c r="Q60" s="195"/>
      <c r="R60" s="196"/>
    </row>
  </sheetData>
  <mergeCells count="124">
    <mergeCell ref="Q44:R44"/>
    <mergeCell ref="Q39:R39"/>
    <mergeCell ref="E40:G40"/>
    <mergeCell ref="H40:I40"/>
    <mergeCell ref="J40:K40"/>
    <mergeCell ref="L40:M40"/>
    <mergeCell ref="Q43:R43"/>
    <mergeCell ref="F36:L36"/>
    <mergeCell ref="E37:M37"/>
    <mergeCell ref="F38:L38"/>
    <mergeCell ref="A39:A40"/>
    <mergeCell ref="B39:B40"/>
    <mergeCell ref="D39:D40"/>
    <mergeCell ref="E39:G39"/>
    <mergeCell ref="H39:I39"/>
    <mergeCell ref="J39:K39"/>
    <mergeCell ref="L39:M39"/>
    <mergeCell ref="E33:E34"/>
    <mergeCell ref="F33:H34"/>
    <mergeCell ref="I33:I34"/>
    <mergeCell ref="J33:K34"/>
    <mergeCell ref="A34:A38"/>
    <mergeCell ref="B34:B38"/>
    <mergeCell ref="C34:C40"/>
    <mergeCell ref="D34:D38"/>
    <mergeCell ref="F35:H35"/>
    <mergeCell ref="J35:K35"/>
    <mergeCell ref="A23:A33"/>
    <mergeCell ref="B23:C33"/>
    <mergeCell ref="D23:D33"/>
    <mergeCell ref="F23:H23"/>
    <mergeCell ref="J23:K23"/>
    <mergeCell ref="F24:L24"/>
    <mergeCell ref="E25:M25"/>
    <mergeCell ref="E26:M28"/>
    <mergeCell ref="A20:A21"/>
    <mergeCell ref="B20:B21"/>
    <mergeCell ref="E21:E22"/>
    <mergeCell ref="F21:H22"/>
    <mergeCell ref="I21:I22"/>
    <mergeCell ref="J21:K22"/>
    <mergeCell ref="E29:E30"/>
    <mergeCell ref="F29:H30"/>
    <mergeCell ref="I29:I30"/>
    <mergeCell ref="J29:K30"/>
    <mergeCell ref="L29:L34"/>
    <mergeCell ref="M29:M34"/>
    <mergeCell ref="E31:E32"/>
    <mergeCell ref="F31:H32"/>
    <mergeCell ref="I31:I32"/>
    <mergeCell ref="J31:K32"/>
    <mergeCell ref="R17:R19"/>
    <mergeCell ref="E19:E20"/>
    <mergeCell ref="F19:H20"/>
    <mergeCell ref="I19:I20"/>
    <mergeCell ref="J19:K20"/>
    <mergeCell ref="L19:L22"/>
    <mergeCell ref="M19:M22"/>
    <mergeCell ref="O21:O22"/>
    <mergeCell ref="P21:P22"/>
    <mergeCell ref="Q21:Q22"/>
    <mergeCell ref="R21:R22"/>
    <mergeCell ref="A15:A19"/>
    <mergeCell ref="B15:C16"/>
    <mergeCell ref="D15:D16"/>
    <mergeCell ref="Q15:Q16"/>
    <mergeCell ref="E16:M18"/>
    <mergeCell ref="B17:B19"/>
    <mergeCell ref="C17:C22"/>
    <mergeCell ref="D17:D22"/>
    <mergeCell ref="O17:O19"/>
    <mergeCell ref="P17:P19"/>
    <mergeCell ref="Q17:Q19"/>
    <mergeCell ref="R12:R13"/>
    <mergeCell ref="F13:K13"/>
    <mergeCell ref="E14:E15"/>
    <mergeCell ref="F14:K15"/>
    <mergeCell ref="L14:L15"/>
    <mergeCell ref="M14:M15"/>
    <mergeCell ref="O14:O15"/>
    <mergeCell ref="P14:P15"/>
    <mergeCell ref="R14:R15"/>
    <mergeCell ref="A10:A13"/>
    <mergeCell ref="B10:B13"/>
    <mergeCell ref="C10:C13"/>
    <mergeCell ref="D10:D13"/>
    <mergeCell ref="O10:O11"/>
    <mergeCell ref="P10:P11"/>
    <mergeCell ref="E11:G11"/>
    <mergeCell ref="H11:M12"/>
    <mergeCell ref="O12:O13"/>
    <mergeCell ref="P12:P13"/>
    <mergeCell ref="O8:O9"/>
    <mergeCell ref="P8:P9"/>
    <mergeCell ref="Q8:Q9"/>
    <mergeCell ref="R8:R9"/>
    <mergeCell ref="E9:E10"/>
    <mergeCell ref="F9:L10"/>
    <mergeCell ref="M9:M10"/>
    <mergeCell ref="R10:R11"/>
    <mergeCell ref="L5:L6"/>
    <mergeCell ref="M5:M6"/>
    <mergeCell ref="B1:C1"/>
    <mergeCell ref="E1:M2"/>
    <mergeCell ref="A2:A4"/>
    <mergeCell ref="B2:B4"/>
    <mergeCell ref="C2:C4"/>
    <mergeCell ref="D2:D4"/>
    <mergeCell ref="F3:K3"/>
    <mergeCell ref="F4:K4"/>
    <mergeCell ref="A7:A9"/>
    <mergeCell ref="B7:C9"/>
    <mergeCell ref="D7:D9"/>
    <mergeCell ref="E7:E8"/>
    <mergeCell ref="F7:J8"/>
    <mergeCell ref="K7:K8"/>
    <mergeCell ref="L7:L8"/>
    <mergeCell ref="M7:M8"/>
    <mergeCell ref="A5:A6"/>
    <mergeCell ref="B5:C6"/>
    <mergeCell ref="D5:D6"/>
    <mergeCell ref="E5:E6"/>
    <mergeCell ref="F5:J6"/>
    <mergeCell ref="K5:K6"/>
  </mergeCells>
  <printOptions verticalCentered="1"/>
  <pageMargins left="0.19685039370078741" right="0.19685039370078741" top="0.39370078740157483" bottom="0.39370078740157483" header="0.51181102362204722" footer="0.51181102362204722"/>
  <pageSetup orientation="landscape" verticalDpi="4294967295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0"/>
  <sheetViews>
    <sheetView workbookViewId="0">
      <selection activeCell="O1" sqref="O1:AC65536"/>
    </sheetView>
  </sheetViews>
  <sheetFormatPr defaultRowHeight="12.75" x14ac:dyDescent="0.2"/>
  <cols>
    <col min="1" max="1" width="3.42578125" style="47" customWidth="1"/>
    <col min="2" max="3" width="2" style="77" customWidth="1"/>
    <col min="4" max="4" width="2" style="78" customWidth="1"/>
    <col min="5" max="5" width="4.28515625" style="52" customWidth="1"/>
    <col min="6" max="6" width="5.85546875" style="3" customWidth="1"/>
    <col min="7" max="7" width="9.28515625" style="3" customWidth="1"/>
    <col min="8" max="8" width="2.5703125" style="3" customWidth="1"/>
    <col min="9" max="9" width="6.42578125" style="50" customWidth="1"/>
    <col min="10" max="10" width="12.140625" style="3" customWidth="1"/>
    <col min="11" max="11" width="5.42578125" style="53" customWidth="1"/>
    <col min="12" max="12" width="5.140625" style="3" customWidth="1"/>
    <col min="13" max="13" width="7.140625" style="79" customWidth="1"/>
    <col min="14" max="14" width="9.140625" style="3"/>
    <col min="15" max="16" width="8.28515625" style="122" hidden="1" customWidth="1"/>
    <col min="17" max="17" width="8.7109375" style="122" hidden="1" customWidth="1"/>
    <col min="18" max="18" width="8.28515625" style="197" hidden="1" customWidth="1"/>
    <col min="19" max="29" width="9.140625" style="3" hidden="1" customWidth="1"/>
    <col min="30" max="16384" width="9.140625" style="3"/>
  </cols>
  <sheetData>
    <row r="1" spans="1:26" s="1" customFormat="1" ht="18" customHeight="1" x14ac:dyDescent="0.3">
      <c r="A1" s="119" t="str">
        <f>T17</f>
        <v/>
      </c>
      <c r="B1" s="409" t="s">
        <v>0</v>
      </c>
      <c r="C1" s="409"/>
      <c r="D1" s="104" t="s">
        <v>1</v>
      </c>
      <c r="E1" s="411" t="s">
        <v>220</v>
      </c>
      <c r="F1" s="411"/>
      <c r="G1" s="411"/>
      <c r="H1" s="411"/>
      <c r="I1" s="411"/>
      <c r="J1" s="411"/>
      <c r="K1" s="411"/>
      <c r="L1" s="411"/>
      <c r="M1" s="412"/>
      <c r="O1" s="121"/>
      <c r="P1" s="121"/>
      <c r="Q1" s="121"/>
      <c r="R1" s="121"/>
    </row>
    <row r="2" spans="1:26" ht="13.5" customHeight="1" thickBot="1" x14ac:dyDescent="0.25">
      <c r="A2" s="599">
        <f>M32</f>
        <v>0</v>
      </c>
      <c r="B2" s="334" t="s">
        <v>2</v>
      </c>
      <c r="C2" s="334"/>
      <c r="D2" s="622" t="s">
        <v>3</v>
      </c>
      <c r="E2" s="422" t="s">
        <v>115</v>
      </c>
      <c r="F2" s="422"/>
      <c r="G2" s="422"/>
      <c r="H2" s="422"/>
      <c r="I2" s="422"/>
      <c r="J2" s="422"/>
      <c r="K2" s="422"/>
      <c r="L2" s="422"/>
      <c r="M2" s="423"/>
      <c r="R2" s="122"/>
    </row>
    <row r="3" spans="1:26" s="7" customFormat="1" ht="11.25" customHeight="1" x14ac:dyDescent="0.2">
      <c r="A3" s="620"/>
      <c r="B3" s="334"/>
      <c r="C3" s="334"/>
      <c r="D3" s="336"/>
      <c r="E3" s="4" t="s">
        <v>5</v>
      </c>
      <c r="F3" s="424" t="s">
        <v>6</v>
      </c>
      <c r="G3" s="424"/>
      <c r="H3" s="424"/>
      <c r="I3" s="424"/>
      <c r="J3" s="424" t="s">
        <v>7</v>
      </c>
      <c r="K3" s="424"/>
      <c r="L3" s="5" t="s">
        <v>8</v>
      </c>
      <c r="M3" s="6" t="s">
        <v>9</v>
      </c>
      <c r="O3" s="178"/>
      <c r="P3" s="178"/>
      <c r="Q3" s="178"/>
      <c r="R3" s="179"/>
    </row>
    <row r="4" spans="1:26" s="13" customFormat="1" ht="18.75" customHeight="1" thickBot="1" x14ac:dyDescent="0.25">
      <c r="A4" s="620"/>
      <c r="B4" s="334"/>
      <c r="C4" s="334"/>
      <c r="D4" s="336"/>
      <c r="E4" s="173" t="s">
        <v>10</v>
      </c>
      <c r="F4" s="623" t="s">
        <v>11</v>
      </c>
      <c r="G4" s="623"/>
      <c r="H4" s="623"/>
      <c r="I4" s="624"/>
      <c r="J4" s="625" t="s">
        <v>12</v>
      </c>
      <c r="K4" s="626"/>
      <c r="L4" s="172" t="s">
        <v>13</v>
      </c>
      <c r="M4" s="105" t="s">
        <v>14</v>
      </c>
      <c r="O4" s="182"/>
      <c r="P4" s="182"/>
      <c r="Q4" s="61"/>
      <c r="R4" s="183"/>
    </row>
    <row r="5" spans="1:26" s="13" customFormat="1" ht="24" customHeight="1" x14ac:dyDescent="0.2">
      <c r="A5" s="621"/>
      <c r="B5" s="334"/>
      <c r="C5" s="334"/>
      <c r="D5" s="336"/>
      <c r="E5" s="16">
        <v>67</v>
      </c>
      <c r="F5" s="435" t="s">
        <v>116</v>
      </c>
      <c r="G5" s="435"/>
      <c r="H5" s="436"/>
      <c r="I5" s="169"/>
      <c r="J5" s="441" t="s">
        <v>16</v>
      </c>
      <c r="K5" s="443">
        <f>O5</f>
        <v>0</v>
      </c>
      <c r="L5" s="454">
        <v>1.5</v>
      </c>
      <c r="M5" s="629">
        <f>TRUNC(R5,2)</f>
        <v>0</v>
      </c>
      <c r="O5" s="445">
        <f>TRUNC(P5,2)</f>
        <v>0</v>
      </c>
      <c r="P5" s="445">
        <f>(I5+I6)/2</f>
        <v>0</v>
      </c>
      <c r="Q5" s="445"/>
      <c r="R5" s="446">
        <f>O5*L5</f>
        <v>0</v>
      </c>
      <c r="S5" s="17"/>
      <c r="T5" s="402" t="s">
        <v>181</v>
      </c>
      <c r="U5" s="402">
        <f>I5+I6</f>
        <v>0</v>
      </c>
      <c r="V5" s="365" t="s">
        <v>186</v>
      </c>
      <c r="W5" s="365">
        <f>I5-I6</f>
        <v>0</v>
      </c>
      <c r="X5" s="365">
        <f>TRUNC(W5,2)</f>
        <v>0</v>
      </c>
    </row>
    <row r="6" spans="1:26" s="13" customFormat="1" ht="24" customHeight="1" x14ac:dyDescent="0.2">
      <c r="A6" s="367"/>
      <c r="B6" s="379" t="s">
        <v>17</v>
      </c>
      <c r="C6" s="379"/>
      <c r="D6" s="374" t="s">
        <v>18</v>
      </c>
      <c r="E6" s="16">
        <v>68</v>
      </c>
      <c r="F6" s="435" t="s">
        <v>117</v>
      </c>
      <c r="G6" s="435"/>
      <c r="H6" s="436"/>
      <c r="I6" s="157"/>
      <c r="J6" s="442"/>
      <c r="K6" s="444"/>
      <c r="L6" s="455"/>
      <c r="M6" s="628"/>
      <c r="O6" s="445"/>
      <c r="P6" s="445"/>
      <c r="Q6" s="445"/>
      <c r="R6" s="446"/>
      <c r="T6" s="365"/>
      <c r="U6" s="365"/>
      <c r="V6" s="365"/>
      <c r="W6" s="365"/>
      <c r="X6" s="365"/>
    </row>
    <row r="7" spans="1:26" s="13" customFormat="1" ht="24" customHeight="1" x14ac:dyDescent="0.2">
      <c r="A7" s="367"/>
      <c r="B7" s="379"/>
      <c r="C7" s="379"/>
      <c r="D7" s="374"/>
      <c r="E7" s="16">
        <v>71</v>
      </c>
      <c r="F7" s="435" t="s">
        <v>118</v>
      </c>
      <c r="G7" s="435"/>
      <c r="H7" s="436"/>
      <c r="I7" s="157"/>
      <c r="J7" s="106"/>
      <c r="K7" s="107"/>
      <c r="L7" s="162">
        <v>4</v>
      </c>
      <c r="M7" s="108">
        <f>TRUNC(R7,2)</f>
        <v>0</v>
      </c>
      <c r="O7" s="199">
        <f>TRUNC(P7,2)</f>
        <v>0</v>
      </c>
      <c r="P7" s="199">
        <f>(I7+I8)/2</f>
        <v>0</v>
      </c>
      <c r="Q7" s="199"/>
      <c r="R7" s="200">
        <f>I7*L7</f>
        <v>0</v>
      </c>
      <c r="T7" s="143" t="s">
        <v>180</v>
      </c>
      <c r="U7" s="210">
        <f>I9</f>
        <v>0</v>
      </c>
      <c r="V7" s="144"/>
      <c r="W7" s="144"/>
      <c r="X7" s="210">
        <f>U7-I8</f>
        <v>0</v>
      </c>
      <c r="Y7" s="210">
        <f>I8-U7</f>
        <v>0</v>
      </c>
    </row>
    <row r="8" spans="1:26" s="13" customFormat="1" ht="24" customHeight="1" x14ac:dyDescent="0.2">
      <c r="A8" s="367"/>
      <c r="B8" s="379" t="s">
        <v>21</v>
      </c>
      <c r="C8" s="379"/>
      <c r="D8" s="374" t="s">
        <v>22</v>
      </c>
      <c r="E8" s="16">
        <v>78</v>
      </c>
      <c r="F8" s="435" t="s">
        <v>119</v>
      </c>
      <c r="G8" s="435"/>
      <c r="H8" s="436"/>
      <c r="I8" s="157"/>
      <c r="J8" s="82"/>
      <c r="K8" s="66"/>
      <c r="L8" s="158">
        <v>1</v>
      </c>
      <c r="M8" s="108">
        <f>TRUNC(R8,2)</f>
        <v>0</v>
      </c>
      <c r="O8" s="199">
        <f>TRUNC(P8,2)</f>
        <v>0</v>
      </c>
      <c r="P8" s="199"/>
      <c r="Q8" s="199"/>
      <c r="R8" s="200">
        <f>I8*L8</f>
        <v>0</v>
      </c>
      <c r="T8" s="394"/>
      <c r="U8" s="394"/>
      <c r="V8" s="403" t="s">
        <v>182</v>
      </c>
      <c r="W8" s="365"/>
      <c r="X8" s="13">
        <f>(IF(X7&gt;0,"",U7))</f>
        <v>0</v>
      </c>
      <c r="Y8" s="13">
        <f>(IF(Y7&gt;0,"",I7))</f>
        <v>0</v>
      </c>
    </row>
    <row r="9" spans="1:26" s="13" customFormat="1" ht="24" customHeight="1" x14ac:dyDescent="0.2">
      <c r="A9" s="367"/>
      <c r="B9" s="379"/>
      <c r="C9" s="379"/>
      <c r="D9" s="374"/>
      <c r="E9" s="16">
        <v>79</v>
      </c>
      <c r="F9" s="435" t="s">
        <v>120</v>
      </c>
      <c r="G9" s="435"/>
      <c r="H9" s="436"/>
      <c r="I9" s="157"/>
      <c r="J9" s="106"/>
      <c r="K9" s="107"/>
      <c r="L9" s="162">
        <v>1</v>
      </c>
      <c r="M9" s="108">
        <f>TRUNC(R9,2)</f>
        <v>0</v>
      </c>
      <c r="O9" s="199">
        <f>TRUNC(P9,2)</f>
        <v>0</v>
      </c>
      <c r="P9" s="200">
        <f>(I9+I10)</f>
        <v>0</v>
      </c>
      <c r="Q9" s="199"/>
      <c r="R9" s="200">
        <f>S10*L9</f>
        <v>0</v>
      </c>
      <c r="T9" s="394"/>
      <c r="U9" s="394"/>
      <c r="V9" s="403"/>
      <c r="W9" s="365"/>
    </row>
    <row r="10" spans="1:26" s="13" customFormat="1" ht="24" customHeight="1" thickBot="1" x14ac:dyDescent="0.25">
      <c r="A10" s="367"/>
      <c r="B10" s="379"/>
      <c r="C10" s="379"/>
      <c r="D10" s="374"/>
      <c r="E10" s="16">
        <v>84</v>
      </c>
      <c r="F10" s="553" t="s">
        <v>121</v>
      </c>
      <c r="G10" s="723"/>
      <c r="H10" s="724"/>
      <c r="I10" s="62">
        <f>X16</f>
        <v>0</v>
      </c>
      <c r="J10" s="87" t="s">
        <v>111</v>
      </c>
      <c r="K10" s="109"/>
      <c r="L10" s="110">
        <v>1</v>
      </c>
      <c r="M10" s="235">
        <f>TRUNC(R10,2)</f>
        <v>0</v>
      </c>
      <c r="O10" s="199">
        <f>TRUNC(P10,2)</f>
        <v>0</v>
      </c>
      <c r="P10" s="199"/>
      <c r="Q10" s="199"/>
      <c r="R10" s="200">
        <f>I10*L10</f>
        <v>0</v>
      </c>
      <c r="S10" s="13">
        <f>MAX(X8,Y8)</f>
        <v>0</v>
      </c>
    </row>
    <row r="11" spans="1:26" s="13" customFormat="1" ht="12.75" customHeight="1" thickBot="1" x14ac:dyDescent="0.25">
      <c r="A11" s="386"/>
      <c r="B11" s="387" t="s">
        <v>26</v>
      </c>
      <c r="C11" s="387" t="s">
        <v>27</v>
      </c>
      <c r="D11" s="725" t="s">
        <v>28</v>
      </c>
      <c r="E11" s="498" t="s">
        <v>57</v>
      </c>
      <c r="F11" s="499"/>
      <c r="G11" s="499"/>
      <c r="H11" s="31"/>
      <c r="I11" s="32"/>
      <c r="J11" s="33"/>
      <c r="K11" s="34"/>
      <c r="L11" s="111"/>
      <c r="M11" s="236">
        <f>SUM(M5:M10)</f>
        <v>0</v>
      </c>
      <c r="O11" s="199"/>
      <c r="P11" s="199"/>
      <c r="Q11" s="90"/>
      <c r="R11" s="200"/>
    </row>
    <row r="12" spans="1:26" s="13" customFormat="1" ht="12.75" customHeight="1" thickBot="1" x14ac:dyDescent="0.25">
      <c r="A12" s="367"/>
      <c r="B12" s="388"/>
      <c r="C12" s="388"/>
      <c r="D12" s="726"/>
      <c r="E12" s="86">
        <v>85</v>
      </c>
      <c r="F12" s="552" t="s">
        <v>114</v>
      </c>
      <c r="G12" s="552"/>
      <c r="H12" s="553"/>
      <c r="I12" s="92"/>
      <c r="J12" s="87" t="s">
        <v>55</v>
      </c>
      <c r="K12" s="88"/>
      <c r="L12" s="89">
        <v>1</v>
      </c>
      <c r="M12" s="218">
        <f>L12*I12</f>
        <v>0</v>
      </c>
      <c r="O12" s="445">
        <v>5</v>
      </c>
      <c r="P12" s="446"/>
      <c r="Q12" s="453"/>
      <c r="R12" s="446"/>
    </row>
    <row r="13" spans="1:26" s="13" customFormat="1" ht="12.75" customHeight="1" x14ac:dyDescent="0.2">
      <c r="A13" s="367"/>
      <c r="B13" s="388"/>
      <c r="C13" s="388"/>
      <c r="D13" s="726"/>
      <c r="E13" s="96" t="s">
        <v>67</v>
      </c>
      <c r="F13" s="97"/>
      <c r="G13" s="97"/>
      <c r="H13" s="97"/>
      <c r="I13" s="97"/>
      <c r="J13" s="97"/>
      <c r="K13" s="97"/>
      <c r="L13" s="97"/>
      <c r="M13" s="98"/>
      <c r="O13" s="445"/>
      <c r="P13" s="445"/>
      <c r="Q13" s="453"/>
      <c r="R13" s="446"/>
    </row>
    <row r="14" spans="1:26" s="13" customFormat="1" ht="12.75" customHeight="1" x14ac:dyDescent="0.2">
      <c r="A14" s="367"/>
      <c r="B14" s="389"/>
      <c r="C14" s="389"/>
      <c r="D14" s="727"/>
      <c r="E14" s="99"/>
      <c r="F14" s="100"/>
      <c r="G14" s="100"/>
      <c r="H14" s="100"/>
      <c r="I14" s="100"/>
      <c r="J14" s="100"/>
      <c r="K14" s="100"/>
      <c r="L14" s="100"/>
      <c r="M14" s="101"/>
      <c r="O14" s="445">
        <f>M7-(M15*L7)-1</f>
        <v>-1</v>
      </c>
      <c r="P14" s="446">
        <f>MIN(O14,O12,O16)</f>
        <v>-1</v>
      </c>
      <c r="Q14" s="453"/>
      <c r="R14" s="446"/>
      <c r="S14" s="199"/>
      <c r="T14" s="199"/>
      <c r="U14" s="199"/>
      <c r="V14" s="182"/>
    </row>
    <row r="15" spans="1:26" s="13" customFormat="1" ht="12.75" customHeight="1" x14ac:dyDescent="0.2">
      <c r="A15" s="367"/>
      <c r="B15" s="379" t="s">
        <v>37</v>
      </c>
      <c r="C15" s="379"/>
      <c r="D15" s="374" t="s">
        <v>38</v>
      </c>
      <c r="E15" s="99"/>
      <c r="F15" s="100"/>
      <c r="G15" s="237" t="s">
        <v>218</v>
      </c>
      <c r="H15" s="100"/>
      <c r="I15" s="100"/>
      <c r="J15" s="100"/>
      <c r="K15" s="100"/>
      <c r="L15" s="100"/>
      <c r="M15" s="238"/>
      <c r="O15" s="445"/>
      <c r="P15" s="445"/>
      <c r="Q15" s="453"/>
      <c r="R15" s="446"/>
      <c r="S15" s="199" t="str">
        <f>IF(A2&gt;994.99,S21,"")</f>
        <v/>
      </c>
      <c r="T15" s="199" t="str">
        <f>IF(A2&gt;99.99,T21,"")</f>
        <v/>
      </c>
      <c r="U15" s="199" t="str">
        <f>IF(A2&gt;104.99,U21,"")</f>
        <v/>
      </c>
      <c r="V15" s="182"/>
      <c r="W15" s="199" t="str">
        <f>IF(A6&gt;0,W21,"")</f>
        <v/>
      </c>
      <c r="X15" s="199" t="str">
        <f>IF(A6&gt;5,X21,"")</f>
        <v/>
      </c>
      <c r="Y15" s="199" t="str">
        <f>IF(A6&gt;10,Y21,"")</f>
        <v/>
      </c>
      <c r="Z15" s="199" t="str">
        <f>IF(A6&gt;12,Z21,"")</f>
        <v/>
      </c>
    </row>
    <row r="16" spans="1:26" s="13" customFormat="1" ht="12.75" customHeight="1" x14ac:dyDescent="0.2">
      <c r="A16" s="367"/>
      <c r="B16" s="379"/>
      <c r="C16" s="379"/>
      <c r="D16" s="374"/>
      <c r="E16" s="99"/>
      <c r="F16" s="100"/>
      <c r="G16" s="100"/>
      <c r="H16" s="100"/>
      <c r="I16" s="100"/>
      <c r="J16" s="100"/>
      <c r="K16" s="13">
        <v>1</v>
      </c>
      <c r="L16" s="240"/>
      <c r="M16" s="241"/>
      <c r="O16" s="445">
        <f>IF(M15=0,0,"")</f>
        <v>0</v>
      </c>
      <c r="P16" s="446"/>
      <c r="Q16" s="453"/>
      <c r="R16" s="446"/>
      <c r="S16" s="199"/>
      <c r="T16" s="200">
        <f>MIN(S15,T15,U15)</f>
        <v>0</v>
      </c>
      <c r="U16" s="199"/>
      <c r="V16" s="182"/>
      <c r="W16" s="199"/>
      <c r="X16" s="200">
        <f>MAX(W15,X15,Y15,Z15)</f>
        <v>0</v>
      </c>
      <c r="Y16" s="199"/>
    </row>
    <row r="17" spans="1:26" s="13" customFormat="1" ht="12.75" customHeight="1" x14ac:dyDescent="0.2">
      <c r="A17" s="378"/>
      <c r="B17" s="379" t="s">
        <v>42</v>
      </c>
      <c r="C17" s="379" t="s">
        <v>43</v>
      </c>
      <c r="D17" s="374" t="s">
        <v>44</v>
      </c>
      <c r="E17" s="99"/>
      <c r="F17" s="100"/>
      <c r="G17" s="585" t="str">
        <f>V27</f>
        <v/>
      </c>
      <c r="H17" s="585"/>
      <c r="I17" s="585"/>
      <c r="J17" s="585"/>
      <c r="K17" s="13">
        <v>2</v>
      </c>
      <c r="L17" s="240"/>
      <c r="M17" s="241"/>
      <c r="O17" s="445"/>
      <c r="P17" s="445"/>
      <c r="Q17" s="453"/>
      <c r="R17" s="446"/>
      <c r="S17" s="201"/>
      <c r="T17" s="201" t="str">
        <f>ROMAN(T16)</f>
        <v/>
      </c>
      <c r="U17" s="201"/>
      <c r="V17" s="85"/>
    </row>
    <row r="18" spans="1:26" s="13" customFormat="1" ht="12.75" customHeight="1" x14ac:dyDescent="0.2">
      <c r="A18" s="378"/>
      <c r="B18" s="379"/>
      <c r="C18" s="379"/>
      <c r="D18" s="374"/>
      <c r="E18" s="99"/>
      <c r="F18" s="100"/>
      <c r="G18" s="585"/>
      <c r="H18" s="585"/>
      <c r="I18" s="585"/>
      <c r="J18" s="585"/>
      <c r="K18" s="13">
        <v>3</v>
      </c>
      <c r="L18" s="240"/>
      <c r="M18" s="241"/>
      <c r="O18" s="445"/>
      <c r="P18" s="446"/>
      <c r="Q18" s="453"/>
      <c r="R18" s="446"/>
      <c r="S18" s="199"/>
      <c r="T18" s="199"/>
      <c r="U18" s="199"/>
      <c r="V18" s="182"/>
    </row>
    <row r="19" spans="1:26" s="13" customFormat="1" ht="12.75" customHeight="1" x14ac:dyDescent="0.25">
      <c r="A19" s="378"/>
      <c r="B19" s="379"/>
      <c r="C19" s="379"/>
      <c r="D19" s="374"/>
      <c r="E19" s="99"/>
      <c r="F19" s="100"/>
      <c r="G19" s="224"/>
      <c r="H19" s="224"/>
      <c r="I19" s="224"/>
      <c r="J19" s="239"/>
      <c r="K19" s="13">
        <v>4</v>
      </c>
      <c r="M19" s="241"/>
      <c r="O19" s="445"/>
      <c r="P19" s="445"/>
      <c r="Q19" s="453"/>
      <c r="R19" s="446"/>
      <c r="S19" s="199"/>
      <c r="T19" s="199"/>
      <c r="U19" s="199"/>
      <c r="V19" s="182"/>
    </row>
    <row r="20" spans="1:26" s="13" customFormat="1" ht="12.75" customHeight="1" x14ac:dyDescent="0.2">
      <c r="A20" s="378"/>
      <c r="B20" s="379"/>
      <c r="C20" s="379"/>
      <c r="D20" s="374"/>
      <c r="E20" s="99"/>
      <c r="F20" s="100"/>
      <c r="G20" s="571" t="str">
        <f>U29</f>
        <v/>
      </c>
      <c r="H20" s="571"/>
      <c r="I20" s="571"/>
      <c r="J20" s="571"/>
      <c r="K20" s="13">
        <v>5</v>
      </c>
      <c r="L20" s="240"/>
      <c r="M20" s="241"/>
      <c r="O20" s="85"/>
      <c r="P20" s="85"/>
      <c r="Q20" s="90"/>
      <c r="R20" s="187"/>
      <c r="S20" s="199"/>
      <c r="T20" s="199"/>
      <c r="U20" s="199"/>
      <c r="V20" s="182"/>
    </row>
    <row r="21" spans="1:26" s="13" customFormat="1" ht="12.75" customHeight="1" x14ac:dyDescent="0.2">
      <c r="A21" s="378"/>
      <c r="B21" s="379" t="s">
        <v>51</v>
      </c>
      <c r="C21" s="379"/>
      <c r="D21" s="374"/>
      <c r="E21" s="99"/>
      <c r="F21" s="100"/>
      <c r="G21" s="571"/>
      <c r="H21" s="571"/>
      <c r="I21" s="571"/>
      <c r="J21" s="571"/>
      <c r="K21" s="13">
        <v>6</v>
      </c>
      <c r="L21" s="240"/>
      <c r="M21" s="241"/>
      <c r="O21" s="85"/>
      <c r="P21" s="85"/>
      <c r="Q21" s="90"/>
      <c r="R21" s="187"/>
      <c r="S21" s="199">
        <v>3</v>
      </c>
      <c r="T21" s="199">
        <v>2</v>
      </c>
      <c r="U21" s="199">
        <v>1</v>
      </c>
      <c r="V21" s="182"/>
      <c r="W21" s="13">
        <v>0</v>
      </c>
      <c r="X21" s="13">
        <v>1</v>
      </c>
      <c r="Y21" s="13">
        <v>2</v>
      </c>
      <c r="Z21" s="13">
        <v>3</v>
      </c>
    </row>
    <row r="22" spans="1:26" s="13" customFormat="1" ht="12.75" customHeight="1" x14ac:dyDescent="0.25">
      <c r="A22" s="378"/>
      <c r="B22" s="379"/>
      <c r="C22" s="379"/>
      <c r="D22" s="374"/>
      <c r="E22" s="99"/>
      <c r="F22" s="100"/>
      <c r="G22" s="239"/>
      <c r="H22" s="239"/>
      <c r="I22" s="239"/>
      <c r="J22" s="239"/>
      <c r="K22" s="13">
        <v>7</v>
      </c>
      <c r="L22" s="240"/>
      <c r="M22" s="241"/>
      <c r="O22" s="85"/>
      <c r="P22" s="85"/>
      <c r="Q22" s="90"/>
      <c r="R22" s="187"/>
      <c r="S22" s="199"/>
      <c r="T22" s="199"/>
      <c r="U22" s="199"/>
      <c r="V22" s="182"/>
    </row>
    <row r="23" spans="1:26" s="13" customFormat="1" ht="12.75" customHeight="1" x14ac:dyDescent="0.2">
      <c r="A23" s="21"/>
      <c r="B23" s="112" t="s">
        <v>56</v>
      </c>
      <c r="C23" s="379"/>
      <c r="D23" s="374"/>
      <c r="E23" s="99"/>
      <c r="F23" s="100"/>
      <c r="G23" s="585"/>
      <c r="H23" s="585"/>
      <c r="I23" s="585"/>
      <c r="J23" s="585"/>
      <c r="K23" s="13">
        <v>8</v>
      </c>
      <c r="L23" s="240"/>
      <c r="M23" s="241"/>
      <c r="O23" s="85"/>
      <c r="P23" s="85"/>
      <c r="Q23" s="90"/>
      <c r="R23" s="187"/>
      <c r="S23" s="199"/>
      <c r="T23" s="199"/>
      <c r="U23" s="199"/>
      <c r="V23" s="182"/>
    </row>
    <row r="24" spans="1:26" s="13" customFormat="1" ht="12.75" customHeight="1" x14ac:dyDescent="0.2">
      <c r="A24" s="367"/>
      <c r="B24" s="379"/>
      <c r="C24" s="379" t="s">
        <v>58</v>
      </c>
      <c r="D24" s="374" t="s">
        <v>59</v>
      </c>
      <c r="E24" s="99"/>
      <c r="F24" s="100"/>
      <c r="G24" s="585"/>
      <c r="H24" s="585"/>
      <c r="I24" s="585"/>
      <c r="J24" s="585"/>
      <c r="K24" s="13">
        <v>9</v>
      </c>
      <c r="L24" s="240"/>
      <c r="M24" s="241"/>
      <c r="O24" s="85"/>
      <c r="P24" s="85"/>
      <c r="Q24" s="90"/>
      <c r="R24" s="187"/>
      <c r="S24" s="203" t="s">
        <v>146</v>
      </c>
      <c r="T24" s="199"/>
      <c r="U24" s="199"/>
      <c r="V24" s="274" t="str">
        <f>(IF(T16=3,S24,""))</f>
        <v/>
      </c>
    </row>
    <row r="25" spans="1:26" s="13" customFormat="1" ht="12.75" customHeight="1" x14ac:dyDescent="0.2">
      <c r="A25" s="367"/>
      <c r="B25" s="379"/>
      <c r="C25" s="379"/>
      <c r="D25" s="374"/>
      <c r="E25" s="99"/>
      <c r="F25" s="100"/>
      <c r="G25" s="100"/>
      <c r="H25" s="100"/>
      <c r="I25" s="100"/>
      <c r="J25" s="100"/>
      <c r="K25" s="13">
        <v>10</v>
      </c>
      <c r="L25" s="240"/>
      <c r="M25" s="241"/>
      <c r="O25" s="85"/>
      <c r="P25" s="85"/>
      <c r="Q25" s="90"/>
      <c r="R25" s="187"/>
      <c r="S25" s="203" t="s">
        <v>147</v>
      </c>
      <c r="T25" s="199"/>
      <c r="U25" s="199"/>
      <c r="V25" s="274" t="str">
        <f>(IF(T16=2,S25,""))</f>
        <v/>
      </c>
    </row>
    <row r="26" spans="1:26" s="13" customFormat="1" ht="12.75" customHeight="1" x14ac:dyDescent="0.2">
      <c r="A26" s="367"/>
      <c r="B26" s="379"/>
      <c r="C26" s="379"/>
      <c r="D26" s="374"/>
      <c r="E26" s="99"/>
      <c r="F26" s="100"/>
      <c r="G26" s="100"/>
      <c r="H26" s="100"/>
      <c r="I26" s="100"/>
      <c r="J26" s="100"/>
      <c r="K26" s="13">
        <v>11</v>
      </c>
      <c r="L26" s="240"/>
      <c r="M26" s="241"/>
      <c r="O26" s="182"/>
      <c r="P26" s="182"/>
      <c r="Q26" s="182"/>
      <c r="R26" s="193"/>
      <c r="S26" s="203" t="s">
        <v>190</v>
      </c>
      <c r="T26" s="199"/>
      <c r="U26" s="199"/>
      <c r="V26" s="274" t="str">
        <f>(IF(T16=1,S26,""))</f>
        <v/>
      </c>
    </row>
    <row r="27" spans="1:26" ht="12.75" customHeight="1" x14ac:dyDescent="0.2">
      <c r="A27" s="367"/>
      <c r="B27" s="379"/>
      <c r="C27" s="379"/>
      <c r="D27" s="374"/>
      <c r="E27" s="99"/>
      <c r="F27" s="100"/>
      <c r="G27" s="100"/>
      <c r="H27" s="100"/>
      <c r="I27" s="100"/>
      <c r="J27" s="100"/>
      <c r="K27" s="100"/>
      <c r="L27" s="100"/>
      <c r="M27" s="101"/>
      <c r="R27" s="122"/>
      <c r="S27" s="199"/>
      <c r="T27" s="199"/>
      <c r="U27" s="199"/>
      <c r="V27" s="182" t="str">
        <f>CONCATENATE(V26,V25,V24)</f>
        <v/>
      </c>
    </row>
    <row r="28" spans="1:26" ht="12.75" customHeight="1" x14ac:dyDescent="0.2">
      <c r="A28" s="367"/>
      <c r="B28" s="379"/>
      <c r="C28" s="379"/>
      <c r="D28" s="374"/>
      <c r="E28" s="99"/>
      <c r="F28" s="100"/>
      <c r="G28" s="100"/>
      <c r="H28" s="100"/>
      <c r="I28" s="100"/>
      <c r="J28" s="100"/>
      <c r="K28" s="100"/>
      <c r="L28" s="100"/>
      <c r="M28" s="101"/>
      <c r="R28" s="122"/>
    </row>
    <row r="29" spans="1:26" ht="12.75" customHeight="1" x14ac:dyDescent="0.2">
      <c r="A29" s="367"/>
      <c r="B29" s="379"/>
      <c r="C29" s="379"/>
      <c r="D29" s="374"/>
      <c r="E29" s="99"/>
      <c r="F29" s="100"/>
      <c r="G29" s="100"/>
      <c r="H29" s="100"/>
      <c r="I29" s="100"/>
      <c r="J29" s="100"/>
      <c r="K29" s="100"/>
      <c r="L29" s="100"/>
      <c r="M29" s="101"/>
      <c r="R29" s="122"/>
      <c r="U29" s="275" t="str">
        <f>IF(A2&gt;109.99,"Význačná trofej","")</f>
        <v/>
      </c>
    </row>
    <row r="30" spans="1:26" ht="12.75" customHeight="1" x14ac:dyDescent="0.2">
      <c r="A30" s="332"/>
      <c r="B30" s="334" t="s">
        <v>68</v>
      </c>
      <c r="C30" s="334" t="s">
        <v>69</v>
      </c>
      <c r="D30" s="336" t="s">
        <v>70</v>
      </c>
      <c r="E30" s="99"/>
      <c r="F30" s="100"/>
      <c r="G30" s="100"/>
      <c r="H30" s="100"/>
      <c r="I30" s="100"/>
      <c r="J30" s="100"/>
      <c r="K30" s="100"/>
      <c r="L30" s="100"/>
      <c r="M30" s="101"/>
      <c r="R30" s="122"/>
    </row>
    <row r="31" spans="1:26" ht="12.75" customHeight="1" thickBot="1" x14ac:dyDescent="0.25">
      <c r="A31" s="332"/>
      <c r="B31" s="334"/>
      <c r="C31" s="334"/>
      <c r="D31" s="336"/>
      <c r="E31" s="102"/>
      <c r="F31" s="103"/>
      <c r="G31" s="103"/>
      <c r="H31" s="103"/>
      <c r="I31" s="103"/>
      <c r="J31" s="103"/>
      <c r="K31" s="103"/>
      <c r="L31" s="103"/>
      <c r="M31" s="75"/>
      <c r="R31" s="122"/>
    </row>
    <row r="32" spans="1:26" ht="12.75" customHeight="1" thickBot="1" x14ac:dyDescent="0.25">
      <c r="A32" s="332"/>
      <c r="B32" s="334"/>
      <c r="C32" s="334"/>
      <c r="D32" s="336"/>
      <c r="E32" s="44">
        <v>99</v>
      </c>
      <c r="F32" s="525" t="s">
        <v>71</v>
      </c>
      <c r="G32" s="526"/>
      <c r="H32" s="526"/>
      <c r="I32" s="526"/>
      <c r="J32" s="526"/>
      <c r="K32" s="526"/>
      <c r="L32" s="526"/>
      <c r="M32" s="76">
        <f>M11-M12</f>
        <v>0</v>
      </c>
      <c r="R32" s="194"/>
    </row>
    <row r="33" spans="1:18" ht="21.75" customHeight="1" x14ac:dyDescent="0.2">
      <c r="A33" s="332"/>
      <c r="B33" s="334" t="s">
        <v>72</v>
      </c>
      <c r="C33" s="334"/>
      <c r="D33" s="336" t="s">
        <v>73</v>
      </c>
      <c r="E33" s="529"/>
      <c r="F33" s="530"/>
      <c r="G33" s="728"/>
      <c r="H33" s="729"/>
      <c r="I33" s="730"/>
      <c r="J33" s="730"/>
      <c r="K33" s="731"/>
      <c r="L33" s="519"/>
      <c r="M33" s="520"/>
      <c r="N33" s="46"/>
      <c r="Q33" s="422"/>
      <c r="R33" s="422"/>
    </row>
    <row r="34" spans="1:18" ht="10.5" customHeight="1" thickBot="1" x14ac:dyDescent="0.25">
      <c r="A34" s="333"/>
      <c r="B34" s="335"/>
      <c r="C34" s="335"/>
      <c r="D34" s="337"/>
      <c r="E34" s="521" t="s">
        <v>74</v>
      </c>
      <c r="F34" s="330"/>
      <c r="G34" s="330"/>
      <c r="H34" s="330" t="s">
        <v>75</v>
      </c>
      <c r="I34" s="330"/>
      <c r="J34" s="330" t="s">
        <v>76</v>
      </c>
      <c r="K34" s="330"/>
      <c r="L34" s="330" t="s">
        <v>77</v>
      </c>
      <c r="M34" s="331"/>
      <c r="N34" s="46"/>
      <c r="Q34" s="522"/>
      <c r="R34" s="522"/>
    </row>
    <row r="35" spans="1:18" x14ac:dyDescent="0.2">
      <c r="E35" s="46"/>
      <c r="F35" s="46"/>
      <c r="G35" s="46"/>
      <c r="H35" s="46"/>
      <c r="J35" s="46"/>
      <c r="K35" s="51"/>
      <c r="L35" s="46"/>
      <c r="N35" s="46"/>
      <c r="O35" s="195"/>
      <c r="P35" s="195"/>
      <c r="Q35" s="195"/>
      <c r="R35" s="196"/>
    </row>
    <row r="36" spans="1:18" x14ac:dyDescent="0.2">
      <c r="E36" s="46"/>
      <c r="F36" s="46"/>
      <c r="G36" s="46"/>
      <c r="H36" s="46"/>
      <c r="J36" s="46"/>
      <c r="K36" s="51"/>
      <c r="L36" s="46"/>
      <c r="N36" s="46"/>
      <c r="O36" s="195"/>
      <c r="P36" s="195"/>
      <c r="Q36" s="195"/>
      <c r="R36" s="196"/>
    </row>
    <row r="37" spans="1:18" x14ac:dyDescent="0.2">
      <c r="E37" s="46"/>
      <c r="F37" s="46"/>
      <c r="G37" s="46"/>
      <c r="H37" s="46"/>
      <c r="J37" s="46"/>
      <c r="K37" s="51"/>
      <c r="L37" s="46"/>
      <c r="N37" s="46"/>
      <c r="O37" s="195"/>
      <c r="P37" s="195"/>
      <c r="Q37" s="195"/>
      <c r="R37" s="196"/>
    </row>
    <row r="38" spans="1:18" x14ac:dyDescent="0.2">
      <c r="E38" s="46"/>
      <c r="F38" s="46"/>
      <c r="G38" s="46"/>
      <c r="H38" s="46"/>
      <c r="J38" s="46"/>
      <c r="K38" s="51"/>
      <c r="L38" s="46"/>
      <c r="N38" s="46"/>
      <c r="O38" s="195"/>
      <c r="P38" s="195"/>
      <c r="Q38" s="195"/>
      <c r="R38" s="196"/>
    </row>
    <row r="39" spans="1:18" x14ac:dyDescent="0.2">
      <c r="E39" s="46"/>
      <c r="F39" s="46"/>
      <c r="G39" s="46"/>
      <c r="H39" s="46"/>
      <c r="J39" s="46"/>
      <c r="K39" s="51"/>
      <c r="L39" s="46"/>
      <c r="N39" s="46"/>
      <c r="O39" s="195"/>
      <c r="P39" s="195"/>
      <c r="Q39" s="195"/>
      <c r="R39" s="196"/>
    </row>
    <row r="40" spans="1:18" x14ac:dyDescent="0.2">
      <c r="E40" s="46"/>
      <c r="F40" s="46"/>
      <c r="G40" s="46"/>
      <c r="H40" s="46"/>
      <c r="J40" s="46"/>
      <c r="K40" s="51"/>
      <c r="L40" s="46"/>
      <c r="N40" s="46"/>
      <c r="O40" s="195"/>
      <c r="P40" s="195"/>
      <c r="Q40" s="195"/>
      <c r="R40" s="196"/>
    </row>
    <row r="41" spans="1:18" x14ac:dyDescent="0.2">
      <c r="E41" s="46"/>
      <c r="F41" s="46"/>
      <c r="G41" s="46"/>
      <c r="H41" s="46"/>
      <c r="J41" s="46"/>
      <c r="K41" s="51"/>
      <c r="L41" s="46"/>
      <c r="N41" s="46"/>
      <c r="O41" s="195"/>
      <c r="P41" s="195"/>
      <c r="Q41" s="195"/>
      <c r="R41" s="196"/>
    </row>
    <row r="42" spans="1:18" x14ac:dyDescent="0.2">
      <c r="E42" s="46"/>
      <c r="F42" s="46"/>
      <c r="G42" s="46"/>
      <c r="H42" s="46"/>
      <c r="J42" s="46"/>
      <c r="K42" s="51"/>
      <c r="L42" s="46"/>
      <c r="N42" s="46"/>
      <c r="O42" s="195"/>
      <c r="P42" s="195"/>
      <c r="Q42" s="195"/>
      <c r="R42" s="196"/>
    </row>
    <row r="43" spans="1:18" x14ac:dyDescent="0.2">
      <c r="E43" s="46"/>
      <c r="F43" s="46"/>
      <c r="G43" s="46"/>
      <c r="H43" s="46"/>
      <c r="J43" s="46"/>
      <c r="K43" s="51"/>
      <c r="L43" s="46"/>
      <c r="N43" s="46"/>
      <c r="O43" s="195"/>
      <c r="P43" s="195"/>
      <c r="Q43" s="195"/>
      <c r="R43" s="196"/>
    </row>
    <row r="44" spans="1:18" x14ac:dyDescent="0.2">
      <c r="E44" s="46"/>
      <c r="F44" s="46"/>
      <c r="G44" s="46"/>
      <c r="H44" s="46"/>
      <c r="J44" s="46"/>
      <c r="K44" s="51"/>
      <c r="L44" s="46"/>
      <c r="N44" s="46"/>
      <c r="O44" s="195"/>
      <c r="P44" s="195"/>
      <c r="Q44" s="195"/>
      <c r="R44" s="196"/>
    </row>
    <row r="45" spans="1:18" x14ac:dyDescent="0.2">
      <c r="E45" s="46"/>
      <c r="F45" s="46"/>
      <c r="G45" s="46"/>
      <c r="H45" s="46"/>
      <c r="J45" s="46"/>
      <c r="K45" s="51"/>
      <c r="L45" s="46"/>
      <c r="N45" s="46"/>
      <c r="O45" s="195"/>
      <c r="P45" s="195"/>
      <c r="Q45" s="195"/>
      <c r="R45" s="196"/>
    </row>
    <row r="46" spans="1:18" x14ac:dyDescent="0.2">
      <c r="E46" s="46"/>
      <c r="F46" s="46"/>
      <c r="G46" s="46"/>
      <c r="H46" s="46"/>
      <c r="J46" s="46"/>
      <c r="K46" s="51"/>
      <c r="L46" s="46"/>
      <c r="N46" s="46"/>
      <c r="O46" s="195"/>
      <c r="P46" s="195"/>
      <c r="Q46" s="195"/>
      <c r="R46" s="196"/>
    </row>
    <row r="47" spans="1:18" x14ac:dyDescent="0.2">
      <c r="E47" s="46"/>
      <c r="F47" s="46"/>
      <c r="G47" s="46"/>
      <c r="H47" s="46"/>
      <c r="J47" s="46"/>
      <c r="K47" s="51"/>
      <c r="L47" s="46"/>
      <c r="N47" s="46"/>
      <c r="O47" s="195"/>
      <c r="P47" s="195"/>
      <c r="Q47" s="195"/>
      <c r="R47" s="196"/>
    </row>
    <row r="48" spans="1:18" x14ac:dyDescent="0.2">
      <c r="E48" s="46"/>
      <c r="F48" s="46"/>
      <c r="G48" s="46"/>
      <c r="H48" s="46"/>
      <c r="J48" s="46"/>
      <c r="K48" s="51"/>
      <c r="L48" s="46"/>
      <c r="N48" s="46"/>
      <c r="O48" s="195"/>
      <c r="P48" s="195"/>
      <c r="Q48" s="195"/>
      <c r="R48" s="196"/>
    </row>
    <row r="49" spans="5:18" ht="25.5" customHeight="1" x14ac:dyDescent="0.2">
      <c r="E49" s="46"/>
      <c r="F49" s="46"/>
      <c r="G49" s="46"/>
      <c r="H49" s="46"/>
      <c r="J49" s="46"/>
      <c r="K49" s="51"/>
      <c r="L49" s="46"/>
      <c r="N49" s="46"/>
      <c r="O49" s="195"/>
      <c r="P49" s="195"/>
      <c r="Q49" s="195"/>
      <c r="R49" s="196"/>
    </row>
    <row r="50" spans="5:18" ht="27" customHeight="1" x14ac:dyDescent="0.2">
      <c r="E50" s="46"/>
      <c r="F50" s="46"/>
      <c r="G50" s="46"/>
      <c r="H50" s="46"/>
      <c r="J50" s="46"/>
      <c r="K50" s="51"/>
      <c r="L50" s="46"/>
      <c r="N50" s="46"/>
      <c r="O50" s="195"/>
      <c r="P50" s="195"/>
      <c r="Q50" s="195"/>
      <c r="R50" s="196"/>
    </row>
  </sheetData>
  <sheetProtection selectLockedCells="1"/>
  <mergeCells count="95">
    <mergeCell ref="Q33:R33"/>
    <mergeCell ref="E34:G34"/>
    <mergeCell ref="H34:I34"/>
    <mergeCell ref="J34:K34"/>
    <mergeCell ref="L34:M34"/>
    <mergeCell ref="Q34:R34"/>
    <mergeCell ref="A30:A32"/>
    <mergeCell ref="B30:B32"/>
    <mergeCell ref="C30:C34"/>
    <mergeCell ref="D30:D32"/>
    <mergeCell ref="F32:L32"/>
    <mergeCell ref="A33:A34"/>
    <mergeCell ref="B33:B34"/>
    <mergeCell ref="D33:D34"/>
    <mergeCell ref="E33:F33"/>
    <mergeCell ref="G33:H33"/>
    <mergeCell ref="I33:K33"/>
    <mergeCell ref="L33:M33"/>
    <mergeCell ref="G20:J21"/>
    <mergeCell ref="A21:A22"/>
    <mergeCell ref="B21:B22"/>
    <mergeCell ref="G23:J24"/>
    <mergeCell ref="A24:A29"/>
    <mergeCell ref="B24:B29"/>
    <mergeCell ref="C24:C29"/>
    <mergeCell ref="D24:D29"/>
    <mergeCell ref="Q16:Q17"/>
    <mergeCell ref="R16:R17"/>
    <mergeCell ref="A17:A20"/>
    <mergeCell ref="B17:B20"/>
    <mergeCell ref="C17:C23"/>
    <mergeCell ref="D17:D23"/>
    <mergeCell ref="G17:J18"/>
    <mergeCell ref="O18:O19"/>
    <mergeCell ref="P18:P19"/>
    <mergeCell ref="Q18:Q19"/>
    <mergeCell ref="R18:R19"/>
    <mergeCell ref="A15:A16"/>
    <mergeCell ref="B15:C16"/>
    <mergeCell ref="D15:D16"/>
    <mergeCell ref="O16:O17"/>
    <mergeCell ref="P16:P17"/>
    <mergeCell ref="O12:O13"/>
    <mergeCell ref="P12:P13"/>
    <mergeCell ref="Q12:Q13"/>
    <mergeCell ref="R12:R13"/>
    <mergeCell ref="O14:O15"/>
    <mergeCell ref="P14:P15"/>
    <mergeCell ref="Q14:Q15"/>
    <mergeCell ref="R14:R15"/>
    <mergeCell ref="F10:H10"/>
    <mergeCell ref="A11:A14"/>
    <mergeCell ref="B11:B14"/>
    <mergeCell ref="C11:C14"/>
    <mergeCell ref="D11:D14"/>
    <mergeCell ref="E11:G11"/>
    <mergeCell ref="F12:H12"/>
    <mergeCell ref="A8:A10"/>
    <mergeCell ref="B8:C10"/>
    <mergeCell ref="D8:D10"/>
    <mergeCell ref="J5:J6"/>
    <mergeCell ref="K5:K6"/>
    <mergeCell ref="V8:V9"/>
    <mergeCell ref="W8:W9"/>
    <mergeCell ref="F9:H9"/>
    <mergeCell ref="F8:H8"/>
    <mergeCell ref="T8:T9"/>
    <mergeCell ref="U8:U9"/>
    <mergeCell ref="T5:T6"/>
    <mergeCell ref="U5:U6"/>
    <mergeCell ref="V5:V6"/>
    <mergeCell ref="O5:O6"/>
    <mergeCell ref="P5:P6"/>
    <mergeCell ref="Q5:Q6"/>
    <mergeCell ref="B1:C1"/>
    <mergeCell ref="E1:M1"/>
    <mergeCell ref="E2:M2"/>
    <mergeCell ref="F3:I3"/>
    <mergeCell ref="J3:K3"/>
    <mergeCell ref="X5:X6"/>
    <mergeCell ref="A6:A7"/>
    <mergeCell ref="B6:C7"/>
    <mergeCell ref="D6:D7"/>
    <mergeCell ref="F6:H6"/>
    <mergeCell ref="F7:H7"/>
    <mergeCell ref="A2:A5"/>
    <mergeCell ref="B2:C5"/>
    <mergeCell ref="D2:D5"/>
    <mergeCell ref="R5:R6"/>
    <mergeCell ref="M5:M6"/>
    <mergeCell ref="F5:H5"/>
    <mergeCell ref="W5:W6"/>
    <mergeCell ref="F4:I4"/>
    <mergeCell ref="J4:K4"/>
    <mergeCell ref="L5:L6"/>
  </mergeCells>
  <printOptions verticalCentered="1"/>
  <pageMargins left="0.19685039370078741" right="0.19685039370078741" top="0.39370078740157483" bottom="0.39370078740157483" header="0.51181102362204722" footer="0.51181102362204722"/>
  <pageSetup orientation="landscape" verticalDpi="4294967295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0"/>
  <sheetViews>
    <sheetView workbookViewId="0">
      <selection activeCell="I12" sqref="I12"/>
    </sheetView>
  </sheetViews>
  <sheetFormatPr defaultRowHeight="12.75" x14ac:dyDescent="0.2"/>
  <cols>
    <col min="1" max="1" width="3.42578125" style="47" customWidth="1"/>
    <col min="2" max="3" width="2" style="77" customWidth="1"/>
    <col min="4" max="4" width="2" style="78" customWidth="1"/>
    <col min="5" max="5" width="4.28515625" style="52" customWidth="1"/>
    <col min="6" max="6" width="5.85546875" style="3" customWidth="1"/>
    <col min="7" max="7" width="9.28515625" style="3" customWidth="1"/>
    <col min="8" max="8" width="2.5703125" style="3" customWidth="1"/>
    <col min="9" max="9" width="6.42578125" style="50" customWidth="1"/>
    <col min="10" max="10" width="12.140625" style="3" customWidth="1"/>
    <col min="11" max="11" width="5.42578125" style="53" customWidth="1"/>
    <col min="12" max="12" width="5.140625" style="3" customWidth="1"/>
    <col min="13" max="13" width="7.140625" style="79" customWidth="1"/>
    <col min="14" max="14" width="9.140625" style="3"/>
    <col min="15" max="16" width="8.28515625" style="122" hidden="1" customWidth="1"/>
    <col min="17" max="17" width="8.7109375" style="122" hidden="1" customWidth="1"/>
    <col min="18" max="18" width="8.28515625" style="197" hidden="1" customWidth="1"/>
    <col min="19" max="28" width="9.140625" style="3" hidden="1" customWidth="1"/>
    <col min="29" max="29" width="9.140625" style="3" customWidth="1"/>
    <col min="30" max="16384" width="9.140625" style="3"/>
  </cols>
  <sheetData>
    <row r="1" spans="1:26" s="1" customFormat="1" ht="18" customHeight="1" x14ac:dyDescent="0.3">
      <c r="A1" s="119" t="str">
        <f>T17</f>
        <v/>
      </c>
      <c r="B1" s="409" t="s">
        <v>0</v>
      </c>
      <c r="C1" s="409"/>
      <c r="D1" s="104" t="s">
        <v>1</v>
      </c>
      <c r="E1" s="411" t="s">
        <v>217</v>
      </c>
      <c r="F1" s="411"/>
      <c r="G1" s="411"/>
      <c r="H1" s="411"/>
      <c r="I1" s="411"/>
      <c r="J1" s="411"/>
      <c r="K1" s="411"/>
      <c r="L1" s="411"/>
      <c r="M1" s="412"/>
      <c r="O1" s="121"/>
      <c r="P1" s="121"/>
      <c r="Q1" s="121"/>
      <c r="R1" s="121"/>
    </row>
    <row r="2" spans="1:26" ht="13.5" customHeight="1" thickBot="1" x14ac:dyDescent="0.25">
      <c r="A2" s="599">
        <f>M32</f>
        <v>0</v>
      </c>
      <c r="B2" s="334" t="s">
        <v>2</v>
      </c>
      <c r="C2" s="334"/>
      <c r="D2" s="622" t="s">
        <v>3</v>
      </c>
      <c r="E2" s="422" t="s">
        <v>115</v>
      </c>
      <c r="F2" s="422"/>
      <c r="G2" s="422"/>
      <c r="H2" s="422"/>
      <c r="I2" s="422"/>
      <c r="J2" s="422"/>
      <c r="K2" s="422"/>
      <c r="L2" s="422"/>
      <c r="M2" s="423"/>
      <c r="R2" s="122"/>
    </row>
    <row r="3" spans="1:26" s="7" customFormat="1" ht="11.25" customHeight="1" x14ac:dyDescent="0.2">
      <c r="A3" s="620"/>
      <c r="B3" s="334"/>
      <c r="C3" s="334"/>
      <c r="D3" s="336"/>
      <c r="E3" s="4" t="s">
        <v>5</v>
      </c>
      <c r="F3" s="424" t="s">
        <v>6</v>
      </c>
      <c r="G3" s="424"/>
      <c r="H3" s="424"/>
      <c r="I3" s="424"/>
      <c r="J3" s="424" t="s">
        <v>7</v>
      </c>
      <c r="K3" s="424"/>
      <c r="L3" s="5" t="s">
        <v>8</v>
      </c>
      <c r="M3" s="6" t="s">
        <v>9</v>
      </c>
      <c r="O3" s="178"/>
      <c r="P3" s="178"/>
      <c r="Q3" s="178"/>
      <c r="R3" s="179"/>
    </row>
    <row r="4" spans="1:26" s="13" customFormat="1" ht="18.75" customHeight="1" thickBot="1" x14ac:dyDescent="0.25">
      <c r="A4" s="620"/>
      <c r="B4" s="334"/>
      <c r="C4" s="334"/>
      <c r="D4" s="336"/>
      <c r="E4" s="173" t="s">
        <v>10</v>
      </c>
      <c r="F4" s="623" t="s">
        <v>11</v>
      </c>
      <c r="G4" s="623"/>
      <c r="H4" s="623"/>
      <c r="I4" s="624"/>
      <c r="J4" s="625" t="s">
        <v>12</v>
      </c>
      <c r="K4" s="626"/>
      <c r="L4" s="172" t="s">
        <v>13</v>
      </c>
      <c r="M4" s="105" t="s">
        <v>14</v>
      </c>
      <c r="O4" s="182"/>
      <c r="P4" s="182"/>
      <c r="Q4" s="61"/>
      <c r="R4" s="183"/>
    </row>
    <row r="5" spans="1:26" s="13" customFormat="1" ht="24" customHeight="1" x14ac:dyDescent="0.2">
      <c r="A5" s="621"/>
      <c r="B5" s="334"/>
      <c r="C5" s="334"/>
      <c r="D5" s="336"/>
      <c r="E5" s="16">
        <v>67</v>
      </c>
      <c r="F5" s="435" t="s">
        <v>116</v>
      </c>
      <c r="G5" s="435"/>
      <c r="H5" s="436"/>
      <c r="I5" s="305"/>
      <c r="J5" s="441" t="s">
        <v>16</v>
      </c>
      <c r="K5" s="443">
        <f>O5</f>
        <v>0</v>
      </c>
      <c r="L5" s="454">
        <v>1.5</v>
      </c>
      <c r="M5" s="629">
        <f>TRUNC(R5,2)</f>
        <v>0</v>
      </c>
      <c r="O5" s="445">
        <f>TRUNC(P5,2)</f>
        <v>0</v>
      </c>
      <c r="P5" s="445">
        <f>(I5+I6)/2</f>
        <v>0</v>
      </c>
      <c r="Q5" s="445"/>
      <c r="R5" s="446">
        <f>O5*L5</f>
        <v>0</v>
      </c>
      <c r="S5" s="17"/>
      <c r="T5" s="402" t="s">
        <v>181</v>
      </c>
      <c r="U5" s="402">
        <f>I5+I6</f>
        <v>0</v>
      </c>
      <c r="V5" s="365" t="s">
        <v>186</v>
      </c>
      <c r="W5" s="365">
        <f>I5-I6</f>
        <v>0</v>
      </c>
      <c r="X5" s="365">
        <f>TRUNC(W5,2)</f>
        <v>0</v>
      </c>
    </row>
    <row r="6" spans="1:26" s="13" customFormat="1" ht="24" customHeight="1" x14ac:dyDescent="0.2">
      <c r="A6" s="367"/>
      <c r="B6" s="379" t="s">
        <v>17</v>
      </c>
      <c r="C6" s="379"/>
      <c r="D6" s="374" t="s">
        <v>18</v>
      </c>
      <c r="E6" s="16">
        <v>68</v>
      </c>
      <c r="F6" s="435" t="s">
        <v>117</v>
      </c>
      <c r="G6" s="435"/>
      <c r="H6" s="436"/>
      <c r="I6" s="304"/>
      <c r="J6" s="442"/>
      <c r="K6" s="444"/>
      <c r="L6" s="455"/>
      <c r="M6" s="628"/>
      <c r="O6" s="445"/>
      <c r="P6" s="445"/>
      <c r="Q6" s="445"/>
      <c r="R6" s="446"/>
      <c r="T6" s="365"/>
      <c r="U6" s="365"/>
      <c r="V6" s="365"/>
      <c r="W6" s="365"/>
      <c r="X6" s="365"/>
    </row>
    <row r="7" spans="1:26" s="13" customFormat="1" ht="24" customHeight="1" x14ac:dyDescent="0.2">
      <c r="A7" s="367"/>
      <c r="B7" s="379"/>
      <c r="C7" s="379"/>
      <c r="D7" s="374"/>
      <c r="E7" s="16">
        <v>71</v>
      </c>
      <c r="F7" s="435" t="s">
        <v>118</v>
      </c>
      <c r="G7" s="435"/>
      <c r="H7" s="436"/>
      <c r="I7" s="304"/>
      <c r="J7" s="106"/>
      <c r="K7" s="107"/>
      <c r="L7" s="162">
        <v>4</v>
      </c>
      <c r="M7" s="108">
        <f>TRUNC(R7,2)</f>
        <v>0</v>
      </c>
      <c r="O7" s="199">
        <f>TRUNC(P7,2)</f>
        <v>0</v>
      </c>
      <c r="P7" s="199">
        <f>(I7+I8)/2</f>
        <v>0</v>
      </c>
      <c r="Q7" s="199"/>
      <c r="R7" s="200">
        <f>I7*L7</f>
        <v>0</v>
      </c>
      <c r="T7" s="143" t="s">
        <v>180</v>
      </c>
      <c r="U7" s="210">
        <f>I9</f>
        <v>0</v>
      </c>
      <c r="V7" s="144"/>
      <c r="W7" s="144"/>
      <c r="X7" s="210">
        <f>U7-I8</f>
        <v>0</v>
      </c>
      <c r="Y7" s="210">
        <f>I8-U7</f>
        <v>0</v>
      </c>
    </row>
    <row r="8" spans="1:26" s="13" customFormat="1" ht="24" customHeight="1" x14ac:dyDescent="0.2">
      <c r="A8" s="367"/>
      <c r="B8" s="379" t="s">
        <v>21</v>
      </c>
      <c r="C8" s="379"/>
      <c r="D8" s="374" t="s">
        <v>22</v>
      </c>
      <c r="E8" s="16">
        <v>78</v>
      </c>
      <c r="F8" s="435" t="s">
        <v>119</v>
      </c>
      <c r="G8" s="435"/>
      <c r="H8" s="436"/>
      <c r="I8" s="304"/>
      <c r="J8" s="82"/>
      <c r="K8" s="66"/>
      <c r="L8" s="158">
        <v>1</v>
      </c>
      <c r="M8" s="108">
        <f>TRUNC(R8,2)</f>
        <v>0</v>
      </c>
      <c r="O8" s="199">
        <f>TRUNC(P8,2)</f>
        <v>0</v>
      </c>
      <c r="P8" s="199"/>
      <c r="Q8" s="199"/>
      <c r="R8" s="200">
        <f>I8*L8</f>
        <v>0</v>
      </c>
      <c r="T8" s="394"/>
      <c r="U8" s="394"/>
      <c r="V8" s="403" t="s">
        <v>182</v>
      </c>
      <c r="W8" s="365"/>
      <c r="X8" s="13">
        <f>(IF(X7&gt;0,"",U7))</f>
        <v>0</v>
      </c>
      <c r="Y8" s="13">
        <f>(IF(Y7&gt;0,"",I8))</f>
        <v>0</v>
      </c>
    </row>
    <row r="9" spans="1:26" s="13" customFormat="1" ht="24" customHeight="1" x14ac:dyDescent="0.2">
      <c r="A9" s="367"/>
      <c r="B9" s="379"/>
      <c r="C9" s="379"/>
      <c r="D9" s="374"/>
      <c r="E9" s="16">
        <v>79</v>
      </c>
      <c r="F9" s="435" t="s">
        <v>120</v>
      </c>
      <c r="G9" s="435"/>
      <c r="H9" s="436"/>
      <c r="I9" s="304"/>
      <c r="J9" s="106"/>
      <c r="K9" s="107"/>
      <c r="L9" s="162">
        <v>1</v>
      </c>
      <c r="M9" s="108">
        <f>TRUNC(R9,2)</f>
        <v>0</v>
      </c>
      <c r="O9" s="199">
        <f>TRUNC(P9,2)</f>
        <v>0</v>
      </c>
      <c r="P9" s="200">
        <f>(I9+I10)</f>
        <v>0</v>
      </c>
      <c r="Q9" s="199"/>
      <c r="R9" s="200">
        <f>S10*L9</f>
        <v>0</v>
      </c>
      <c r="T9" s="394"/>
      <c r="U9" s="394"/>
      <c r="V9" s="403"/>
      <c r="W9" s="365"/>
    </row>
    <row r="10" spans="1:26" s="13" customFormat="1" ht="24" customHeight="1" thickBot="1" x14ac:dyDescent="0.25">
      <c r="A10" s="367"/>
      <c r="B10" s="379"/>
      <c r="C10" s="379"/>
      <c r="D10" s="374"/>
      <c r="E10" s="16">
        <v>84</v>
      </c>
      <c r="F10" s="553" t="s">
        <v>121</v>
      </c>
      <c r="G10" s="723"/>
      <c r="H10" s="724"/>
      <c r="I10" s="303"/>
      <c r="J10" s="87" t="s">
        <v>111</v>
      </c>
      <c r="K10" s="109"/>
      <c r="L10" s="110">
        <v>1</v>
      </c>
      <c r="M10" s="235">
        <f>TRUNC(R10,2)</f>
        <v>0</v>
      </c>
      <c r="O10" s="199">
        <f>TRUNC(P10,2)</f>
        <v>0</v>
      </c>
      <c r="P10" s="199"/>
      <c r="Q10" s="199"/>
      <c r="R10" s="200">
        <f>I10*L10</f>
        <v>0</v>
      </c>
      <c r="S10" s="13">
        <f>MAX(X8,Y8)</f>
        <v>0</v>
      </c>
    </row>
    <row r="11" spans="1:26" s="13" customFormat="1" ht="12.75" customHeight="1" thickBot="1" x14ac:dyDescent="0.25">
      <c r="A11" s="386"/>
      <c r="B11" s="387" t="s">
        <v>26</v>
      </c>
      <c r="C11" s="387" t="s">
        <v>27</v>
      </c>
      <c r="D11" s="725" t="s">
        <v>28</v>
      </c>
      <c r="E11" s="498" t="s">
        <v>57</v>
      </c>
      <c r="F11" s="499"/>
      <c r="G11" s="499"/>
      <c r="H11" s="31"/>
      <c r="I11" s="32"/>
      <c r="J11" s="33"/>
      <c r="K11" s="34"/>
      <c r="L11" s="111"/>
      <c r="M11" s="236">
        <f>SUM(M5:M10)</f>
        <v>0</v>
      </c>
      <c r="O11" s="199"/>
      <c r="P11" s="199"/>
      <c r="Q11" s="90"/>
      <c r="R11" s="200"/>
    </row>
    <row r="12" spans="1:26" s="13" customFormat="1" ht="12.75" customHeight="1" thickBot="1" x14ac:dyDescent="0.25">
      <c r="A12" s="367"/>
      <c r="B12" s="388"/>
      <c r="C12" s="388"/>
      <c r="D12" s="726"/>
      <c r="E12" s="86">
        <v>85</v>
      </c>
      <c r="F12" s="552" t="s">
        <v>114</v>
      </c>
      <c r="G12" s="552"/>
      <c r="H12" s="553"/>
      <c r="I12" s="22"/>
      <c r="J12" s="87" t="s">
        <v>55</v>
      </c>
      <c r="K12" s="88"/>
      <c r="L12" s="89">
        <v>1</v>
      </c>
      <c r="M12" s="218">
        <f>L12*I12</f>
        <v>0</v>
      </c>
      <c r="O12" s="445">
        <v>5</v>
      </c>
      <c r="P12" s="446"/>
      <c r="Q12" s="453"/>
      <c r="R12" s="446"/>
    </row>
    <row r="13" spans="1:26" s="13" customFormat="1" ht="12.75" customHeight="1" x14ac:dyDescent="0.2">
      <c r="A13" s="367"/>
      <c r="B13" s="388"/>
      <c r="C13" s="388"/>
      <c r="D13" s="726"/>
      <c r="E13" s="96" t="s">
        <v>67</v>
      </c>
      <c r="F13" s="97"/>
      <c r="G13" s="97"/>
      <c r="H13" s="97"/>
      <c r="I13" s="97"/>
      <c r="J13" s="97"/>
      <c r="K13" s="97"/>
      <c r="L13" s="97"/>
      <c r="M13" s="98"/>
      <c r="O13" s="445"/>
      <c r="P13" s="445"/>
      <c r="Q13" s="453"/>
      <c r="R13" s="446"/>
    </row>
    <row r="14" spans="1:26" s="13" customFormat="1" ht="12.75" customHeight="1" x14ac:dyDescent="0.2">
      <c r="A14" s="367"/>
      <c r="B14" s="389"/>
      <c r="C14" s="389"/>
      <c r="D14" s="727"/>
      <c r="E14" s="99"/>
      <c r="F14" s="100"/>
      <c r="G14" s="100"/>
      <c r="H14" s="100"/>
      <c r="I14" s="100"/>
      <c r="J14" s="100"/>
      <c r="K14" s="100"/>
      <c r="L14" s="100"/>
      <c r="M14" s="101"/>
      <c r="O14" s="445">
        <f>M7-(M15*L7)-1</f>
        <v>-1</v>
      </c>
      <c r="P14" s="446">
        <f>MIN(O14,O12,O16)</f>
        <v>-1</v>
      </c>
      <c r="Q14" s="453"/>
      <c r="R14" s="446"/>
      <c r="S14" s="199"/>
      <c r="T14" s="199"/>
      <c r="U14" s="199"/>
      <c r="V14" s="182"/>
    </row>
    <row r="15" spans="1:26" s="13" customFormat="1" ht="12.75" customHeight="1" x14ac:dyDescent="0.2">
      <c r="A15" s="367"/>
      <c r="B15" s="379" t="s">
        <v>37</v>
      </c>
      <c r="C15" s="379"/>
      <c r="D15" s="374" t="s">
        <v>38</v>
      </c>
      <c r="E15" s="99"/>
      <c r="F15" s="100"/>
      <c r="G15" s="237"/>
      <c r="H15" s="100"/>
      <c r="I15" s="100"/>
      <c r="J15" s="100"/>
      <c r="K15" s="100"/>
      <c r="L15" s="100"/>
      <c r="M15" s="306"/>
      <c r="O15" s="445"/>
      <c r="P15" s="445"/>
      <c r="Q15" s="453"/>
      <c r="R15" s="446"/>
      <c r="S15" s="199" t="str">
        <f>IF(A2&gt;99.99,S21,"")</f>
        <v/>
      </c>
      <c r="T15" s="199" t="str">
        <f>IF(A2&gt;104.99,T21,"")</f>
        <v/>
      </c>
      <c r="U15" s="199" t="str">
        <f>IF(A2&gt;109.99,U21,"")</f>
        <v/>
      </c>
      <c r="V15" s="182"/>
      <c r="W15" s="199" t="str">
        <f>IF(A6&gt;0,W21,"")</f>
        <v/>
      </c>
      <c r="X15" s="199" t="str">
        <f>IF(A6&gt;5,X21,"")</f>
        <v/>
      </c>
      <c r="Y15" s="199" t="str">
        <f>IF(A6&gt;10,Y21,"")</f>
        <v/>
      </c>
      <c r="Z15" s="199" t="str">
        <f>IF(A6&gt;12,Z21,"")</f>
        <v/>
      </c>
    </row>
    <row r="16" spans="1:26" s="13" customFormat="1" ht="12.75" customHeight="1" x14ac:dyDescent="0.2">
      <c r="A16" s="367"/>
      <c r="B16" s="379"/>
      <c r="C16" s="379"/>
      <c r="D16" s="374"/>
      <c r="E16" s="99"/>
      <c r="F16" s="100"/>
      <c r="G16" s="100"/>
      <c r="H16" s="100"/>
      <c r="I16" s="100"/>
      <c r="J16" s="100"/>
      <c r="K16" s="100"/>
      <c r="L16" s="100"/>
      <c r="M16" s="101"/>
      <c r="O16" s="445">
        <f>IF(M15=0,0,"")</f>
        <v>0</v>
      </c>
      <c r="P16" s="446"/>
      <c r="Q16" s="453"/>
      <c r="R16" s="446"/>
      <c r="S16" s="199"/>
      <c r="T16" s="200">
        <f>MIN(S15,T15,U15)</f>
        <v>0</v>
      </c>
      <c r="U16" s="199"/>
      <c r="V16" s="182"/>
      <c r="W16" s="199"/>
      <c r="X16" s="200">
        <f>MAX(W15,X15,Y15,Z15)</f>
        <v>0</v>
      </c>
      <c r="Y16" s="199"/>
    </row>
    <row r="17" spans="1:26" s="13" customFormat="1" ht="12.75" customHeight="1" x14ac:dyDescent="0.2">
      <c r="A17" s="732"/>
      <c r="B17" s="379" t="s">
        <v>42</v>
      </c>
      <c r="C17" s="379" t="s">
        <v>43</v>
      </c>
      <c r="D17" s="374" t="s">
        <v>44</v>
      </c>
      <c r="E17" s="99"/>
      <c r="F17" s="100"/>
      <c r="G17" s="585" t="str">
        <f>V27</f>
        <v/>
      </c>
      <c r="H17" s="585"/>
      <c r="I17" s="585"/>
      <c r="J17" s="585"/>
      <c r="L17" s="100"/>
      <c r="M17" s="101"/>
      <c r="O17" s="445"/>
      <c r="P17" s="445"/>
      <c r="Q17" s="453"/>
      <c r="R17" s="446"/>
      <c r="S17" s="201"/>
      <c r="T17" s="201" t="str">
        <f>ROMAN(T16)</f>
        <v/>
      </c>
      <c r="U17" s="201"/>
      <c r="V17" s="85"/>
    </row>
    <row r="18" spans="1:26" s="13" customFormat="1" ht="12.75" customHeight="1" x14ac:dyDescent="0.2">
      <c r="A18" s="733"/>
      <c r="B18" s="379"/>
      <c r="C18" s="379"/>
      <c r="D18" s="374"/>
      <c r="E18" s="99"/>
      <c r="F18" s="100"/>
      <c r="G18" s="585"/>
      <c r="H18" s="585"/>
      <c r="I18" s="585"/>
      <c r="J18" s="585"/>
      <c r="L18" s="100"/>
      <c r="M18" s="101"/>
      <c r="O18" s="445"/>
      <c r="P18" s="446"/>
      <c r="Q18" s="453"/>
      <c r="R18" s="446"/>
      <c r="S18" s="199"/>
      <c r="T18" s="199"/>
      <c r="U18" s="199"/>
      <c r="V18" s="182"/>
    </row>
    <row r="19" spans="1:26" s="13" customFormat="1" ht="12.75" customHeight="1" x14ac:dyDescent="0.25">
      <c r="A19" s="733"/>
      <c r="B19" s="379"/>
      <c r="C19" s="379"/>
      <c r="D19" s="374"/>
      <c r="E19" s="99"/>
      <c r="F19" s="100"/>
      <c r="G19" s="224"/>
      <c r="H19" s="224"/>
      <c r="I19" s="224"/>
      <c r="J19" s="239"/>
      <c r="L19" s="100"/>
      <c r="M19" s="101"/>
      <c r="O19" s="445"/>
      <c r="P19" s="445"/>
      <c r="Q19" s="453"/>
      <c r="R19" s="446"/>
      <c r="S19" s="199"/>
      <c r="T19" s="199"/>
      <c r="U19" s="199"/>
      <c r="V19" s="182"/>
    </row>
    <row r="20" spans="1:26" s="13" customFormat="1" ht="12.75" customHeight="1" x14ac:dyDescent="0.2">
      <c r="A20" s="733"/>
      <c r="B20" s="379"/>
      <c r="C20" s="379"/>
      <c r="D20" s="374"/>
      <c r="E20" s="99"/>
      <c r="F20" s="100"/>
      <c r="G20" s="571" t="str">
        <f>S29</f>
        <v/>
      </c>
      <c r="H20" s="571"/>
      <c r="I20" s="571"/>
      <c r="J20" s="571"/>
      <c r="L20" s="100"/>
      <c r="M20" s="101"/>
      <c r="O20" s="85"/>
      <c r="P20" s="85"/>
      <c r="Q20" s="90"/>
      <c r="R20" s="187"/>
      <c r="S20" s="199"/>
      <c r="T20" s="199"/>
      <c r="U20" s="199"/>
      <c r="V20" s="182"/>
    </row>
    <row r="21" spans="1:26" s="13" customFormat="1" ht="12.75" customHeight="1" x14ac:dyDescent="0.2">
      <c r="A21" s="378" t="s">
        <v>143</v>
      </c>
      <c r="B21" s="379" t="s">
        <v>51</v>
      </c>
      <c r="C21" s="379"/>
      <c r="D21" s="374"/>
      <c r="E21" s="99"/>
      <c r="F21" s="100"/>
      <c r="G21" s="571"/>
      <c r="H21" s="571"/>
      <c r="I21" s="571"/>
      <c r="J21" s="571"/>
      <c r="L21" s="100"/>
      <c r="M21" s="101"/>
      <c r="O21" s="85"/>
      <c r="P21" s="85"/>
      <c r="Q21" s="90"/>
      <c r="R21" s="187"/>
      <c r="S21" s="199">
        <v>3</v>
      </c>
      <c r="T21" s="199">
        <v>2</v>
      </c>
      <c r="U21" s="199">
        <v>1</v>
      </c>
      <c r="V21" s="182"/>
      <c r="W21" s="13">
        <v>0</v>
      </c>
      <c r="X21" s="13">
        <v>1</v>
      </c>
      <c r="Y21" s="13">
        <v>2</v>
      </c>
      <c r="Z21" s="13">
        <v>3</v>
      </c>
    </row>
    <row r="22" spans="1:26" s="13" customFormat="1" ht="12.75" customHeight="1" x14ac:dyDescent="0.25">
      <c r="A22" s="378"/>
      <c r="B22" s="379"/>
      <c r="C22" s="379"/>
      <c r="D22" s="374"/>
      <c r="E22" s="99"/>
      <c r="F22" s="100"/>
      <c r="G22" s="239"/>
      <c r="H22" s="239"/>
      <c r="I22" s="239"/>
      <c r="J22" s="239"/>
      <c r="K22" s="100"/>
      <c r="L22" s="100"/>
      <c r="M22" s="101"/>
      <c r="O22" s="85"/>
      <c r="P22" s="85"/>
      <c r="Q22" s="90"/>
      <c r="R22" s="187"/>
      <c r="S22" s="199"/>
      <c r="T22" s="199"/>
      <c r="U22" s="199"/>
      <c r="V22" s="182"/>
    </row>
    <row r="23" spans="1:26" s="13" customFormat="1" ht="12.75" customHeight="1" x14ac:dyDescent="0.2">
      <c r="A23" s="116" t="s">
        <v>144</v>
      </c>
      <c r="B23" s="112" t="s">
        <v>56</v>
      </c>
      <c r="C23" s="379"/>
      <c r="D23" s="374"/>
      <c r="E23" s="99"/>
      <c r="F23" s="100"/>
      <c r="G23" s="585"/>
      <c r="H23" s="585"/>
      <c r="I23" s="585"/>
      <c r="J23" s="585"/>
      <c r="K23" s="100"/>
      <c r="L23" s="100"/>
      <c r="M23" s="101"/>
      <c r="O23" s="85"/>
      <c r="P23" s="85"/>
      <c r="Q23" s="90"/>
      <c r="R23" s="187"/>
      <c r="S23" s="199"/>
      <c r="T23" s="199"/>
      <c r="U23" s="199"/>
      <c r="V23" s="182"/>
    </row>
    <row r="24" spans="1:26" s="13" customFormat="1" ht="12.75" customHeight="1" x14ac:dyDescent="0.2">
      <c r="A24" s="367"/>
      <c r="B24" s="379"/>
      <c r="C24" s="379" t="s">
        <v>58</v>
      </c>
      <c r="D24" s="374" t="s">
        <v>59</v>
      </c>
      <c r="E24" s="99"/>
      <c r="F24" s="100"/>
      <c r="G24" s="585"/>
      <c r="H24" s="585"/>
      <c r="I24" s="585"/>
      <c r="J24" s="585"/>
      <c r="K24" s="100"/>
      <c r="L24" s="100"/>
      <c r="M24" s="101"/>
      <c r="O24" s="85"/>
      <c r="P24" s="85"/>
      <c r="Q24" s="90"/>
      <c r="R24" s="187"/>
      <c r="S24" s="203" t="s">
        <v>146</v>
      </c>
      <c r="T24" s="199"/>
      <c r="U24" s="199"/>
      <c r="V24" s="182" t="str">
        <f>(IF(T16=3,S24,""))</f>
        <v/>
      </c>
    </row>
    <row r="25" spans="1:26" s="13" customFormat="1" ht="12.75" customHeight="1" x14ac:dyDescent="0.2">
      <c r="A25" s="367"/>
      <c r="B25" s="379"/>
      <c r="C25" s="379"/>
      <c r="D25" s="374"/>
      <c r="E25" s="99"/>
      <c r="F25" s="100"/>
      <c r="G25" s="100"/>
      <c r="H25" s="100"/>
      <c r="I25" s="100"/>
      <c r="J25" s="100"/>
      <c r="K25" s="100"/>
      <c r="L25" s="100"/>
      <c r="M25" s="101"/>
      <c r="O25" s="85"/>
      <c r="P25" s="85"/>
      <c r="Q25" s="90"/>
      <c r="R25" s="187"/>
      <c r="S25" s="203" t="s">
        <v>147</v>
      </c>
      <c r="T25" s="199"/>
      <c r="U25" s="199"/>
      <c r="V25" s="182" t="str">
        <f>(IF(T16=2,S25,""))</f>
        <v/>
      </c>
    </row>
    <row r="26" spans="1:26" s="13" customFormat="1" ht="12.75" customHeight="1" x14ac:dyDescent="0.2">
      <c r="A26" s="367"/>
      <c r="B26" s="379"/>
      <c r="C26" s="379"/>
      <c r="D26" s="374"/>
      <c r="E26" s="99"/>
      <c r="F26" s="100"/>
      <c r="G26" s="100"/>
      <c r="H26" s="100"/>
      <c r="I26" s="100"/>
      <c r="J26" s="100"/>
      <c r="K26" s="100"/>
      <c r="L26" s="100"/>
      <c r="M26" s="101"/>
      <c r="O26" s="182"/>
      <c r="P26" s="182"/>
      <c r="Q26" s="182"/>
      <c r="R26" s="193"/>
      <c r="S26" s="203" t="s">
        <v>190</v>
      </c>
      <c r="T26" s="199"/>
      <c r="U26" s="199"/>
      <c r="V26" s="182" t="str">
        <f>(IF(T16=1,S26,""))</f>
        <v/>
      </c>
    </row>
    <row r="27" spans="1:26" ht="12.75" customHeight="1" x14ac:dyDescent="0.2">
      <c r="A27" s="367"/>
      <c r="B27" s="379"/>
      <c r="C27" s="379"/>
      <c r="D27" s="374"/>
      <c r="E27" s="99"/>
      <c r="F27" s="100"/>
      <c r="G27" s="100"/>
      <c r="H27" s="100"/>
      <c r="I27" s="100"/>
      <c r="J27" s="100"/>
      <c r="K27" s="100"/>
      <c r="L27" s="100"/>
      <c r="M27" s="101"/>
      <c r="R27" s="122"/>
      <c r="S27" s="199"/>
      <c r="T27" s="199"/>
      <c r="U27" s="199"/>
      <c r="V27" s="182" t="str">
        <f>CONCATENATE(V26,V25,V24)</f>
        <v/>
      </c>
    </row>
    <row r="28" spans="1:26" ht="12.75" customHeight="1" x14ac:dyDescent="0.2">
      <c r="A28" s="367"/>
      <c r="B28" s="379"/>
      <c r="C28" s="379"/>
      <c r="D28" s="374"/>
      <c r="E28" s="99"/>
      <c r="F28" s="100"/>
      <c r="G28" s="100"/>
      <c r="H28" s="100"/>
      <c r="I28" s="100"/>
      <c r="J28" s="100"/>
      <c r="K28" s="100"/>
      <c r="L28" s="100"/>
      <c r="M28" s="101"/>
      <c r="R28" s="122"/>
    </row>
    <row r="29" spans="1:26" ht="12.75" customHeight="1" x14ac:dyDescent="0.2">
      <c r="A29" s="367"/>
      <c r="B29" s="379"/>
      <c r="C29" s="379"/>
      <c r="D29" s="374"/>
      <c r="E29" s="99"/>
      <c r="F29" s="100"/>
      <c r="G29" s="100"/>
      <c r="H29" s="100"/>
      <c r="I29" s="100"/>
      <c r="J29" s="100"/>
      <c r="K29" s="100"/>
      <c r="L29" s="100"/>
      <c r="M29" s="101"/>
      <c r="R29" s="122"/>
      <c r="S29" s="275" t="str">
        <f>IF(A2&gt;109.99,"Význačná trofej","")</f>
        <v/>
      </c>
    </row>
    <row r="30" spans="1:26" ht="12.75" customHeight="1" x14ac:dyDescent="0.2">
      <c r="A30" s="332"/>
      <c r="B30" s="334" t="s">
        <v>68</v>
      </c>
      <c r="C30" s="334" t="s">
        <v>69</v>
      </c>
      <c r="D30" s="336" t="s">
        <v>70</v>
      </c>
      <c r="E30" s="99"/>
      <c r="F30" s="100"/>
      <c r="G30" s="100"/>
      <c r="H30" s="100"/>
      <c r="I30" s="100"/>
      <c r="J30" s="100"/>
      <c r="K30" s="100"/>
      <c r="L30" s="100"/>
      <c r="M30" s="101"/>
      <c r="R30" s="122"/>
    </row>
    <row r="31" spans="1:26" ht="12.75" customHeight="1" thickBot="1" x14ac:dyDescent="0.25">
      <c r="A31" s="332"/>
      <c r="B31" s="334"/>
      <c r="C31" s="334"/>
      <c r="D31" s="336"/>
      <c r="E31" s="102"/>
      <c r="F31" s="103"/>
      <c r="G31" s="103"/>
      <c r="H31" s="103"/>
      <c r="I31" s="103"/>
      <c r="J31" s="103"/>
      <c r="K31" s="103"/>
      <c r="L31" s="103"/>
      <c r="M31" s="75"/>
      <c r="R31" s="122"/>
    </row>
    <row r="32" spans="1:26" ht="12.75" customHeight="1" thickBot="1" x14ac:dyDescent="0.25">
      <c r="A32" s="332"/>
      <c r="B32" s="334"/>
      <c r="C32" s="334"/>
      <c r="D32" s="336"/>
      <c r="E32" s="44">
        <v>99</v>
      </c>
      <c r="F32" s="525" t="s">
        <v>71</v>
      </c>
      <c r="G32" s="526"/>
      <c r="H32" s="526"/>
      <c r="I32" s="526"/>
      <c r="J32" s="526"/>
      <c r="K32" s="526"/>
      <c r="L32" s="526"/>
      <c r="M32" s="76">
        <f>M11-M12</f>
        <v>0</v>
      </c>
      <c r="R32" s="194"/>
    </row>
    <row r="33" spans="1:18" ht="25.5" customHeight="1" x14ac:dyDescent="0.2">
      <c r="A33" s="332"/>
      <c r="B33" s="334" t="s">
        <v>72</v>
      </c>
      <c r="C33" s="334"/>
      <c r="D33" s="336" t="s">
        <v>73</v>
      </c>
      <c r="E33" s="529"/>
      <c r="F33" s="530"/>
      <c r="G33" s="728"/>
      <c r="H33" s="729"/>
      <c r="I33" s="730"/>
      <c r="J33" s="730"/>
      <c r="K33" s="731"/>
      <c r="L33" s="519"/>
      <c r="M33" s="520"/>
      <c r="N33" s="46"/>
      <c r="Q33" s="422"/>
      <c r="R33" s="422"/>
    </row>
    <row r="34" spans="1:18" ht="10.5" customHeight="1" thickBot="1" x14ac:dyDescent="0.25">
      <c r="A34" s="333"/>
      <c r="B34" s="335"/>
      <c r="C34" s="335"/>
      <c r="D34" s="337"/>
      <c r="E34" s="521" t="s">
        <v>74</v>
      </c>
      <c r="F34" s="330"/>
      <c r="G34" s="330"/>
      <c r="H34" s="330" t="s">
        <v>75</v>
      </c>
      <c r="I34" s="330"/>
      <c r="J34" s="330" t="s">
        <v>76</v>
      </c>
      <c r="K34" s="330"/>
      <c r="L34" s="330" t="s">
        <v>77</v>
      </c>
      <c r="M34" s="331"/>
      <c r="N34" s="46"/>
      <c r="Q34" s="522"/>
      <c r="R34" s="522"/>
    </row>
    <row r="35" spans="1:18" x14ac:dyDescent="0.2">
      <c r="E35" s="46"/>
      <c r="F35" s="46"/>
      <c r="G35" s="46"/>
      <c r="H35" s="46"/>
      <c r="J35" s="46"/>
      <c r="K35" s="51"/>
      <c r="L35" s="46"/>
      <c r="N35" s="46"/>
      <c r="O35" s="195"/>
      <c r="P35" s="195"/>
      <c r="Q35" s="195"/>
      <c r="R35" s="196"/>
    </row>
    <row r="36" spans="1:18" x14ac:dyDescent="0.2">
      <c r="E36" s="46"/>
      <c r="F36" s="46"/>
      <c r="G36" s="46"/>
      <c r="H36" s="46"/>
      <c r="J36" s="46"/>
      <c r="K36" s="51"/>
      <c r="L36" s="46"/>
      <c r="N36" s="46"/>
      <c r="O36" s="195"/>
      <c r="P36" s="195"/>
      <c r="Q36" s="195"/>
      <c r="R36" s="196"/>
    </row>
    <row r="37" spans="1:18" x14ac:dyDescent="0.2">
      <c r="E37" s="46"/>
      <c r="F37" s="46"/>
      <c r="G37" s="46"/>
      <c r="H37" s="46"/>
      <c r="J37" s="46"/>
      <c r="K37" s="51"/>
      <c r="L37" s="46"/>
      <c r="N37" s="46"/>
      <c r="O37" s="195"/>
      <c r="P37" s="195"/>
      <c r="Q37" s="195"/>
      <c r="R37" s="196"/>
    </row>
    <row r="38" spans="1:18" x14ac:dyDescent="0.2">
      <c r="E38" s="46"/>
      <c r="F38" s="46"/>
      <c r="G38" s="46"/>
      <c r="H38" s="46"/>
      <c r="J38" s="46"/>
      <c r="K38" s="51"/>
      <c r="L38" s="46"/>
      <c r="N38" s="46"/>
      <c r="O38" s="195"/>
      <c r="P38" s="195"/>
      <c r="Q38" s="195"/>
      <c r="R38" s="196"/>
    </row>
    <row r="39" spans="1:18" x14ac:dyDescent="0.2">
      <c r="E39" s="46"/>
      <c r="F39" s="46"/>
      <c r="G39" s="46"/>
      <c r="H39" s="46"/>
      <c r="J39" s="46"/>
      <c r="K39" s="51"/>
      <c r="L39" s="46"/>
      <c r="N39" s="46"/>
      <c r="O39" s="195"/>
      <c r="P39" s="195"/>
      <c r="Q39" s="195"/>
      <c r="R39" s="196"/>
    </row>
    <row r="40" spans="1:18" x14ac:dyDescent="0.2">
      <c r="E40" s="46"/>
      <c r="F40" s="46"/>
      <c r="G40" s="46"/>
      <c r="H40" s="46"/>
      <c r="J40" s="46"/>
      <c r="K40" s="51"/>
      <c r="L40" s="46"/>
      <c r="N40" s="46"/>
      <c r="O40" s="195"/>
      <c r="P40" s="195"/>
      <c r="Q40" s="195"/>
      <c r="R40" s="196"/>
    </row>
    <row r="41" spans="1:18" x14ac:dyDescent="0.2">
      <c r="E41" s="46"/>
      <c r="F41" s="46"/>
      <c r="G41" s="46"/>
      <c r="H41" s="46"/>
      <c r="J41" s="46"/>
      <c r="K41" s="51"/>
      <c r="L41" s="46"/>
      <c r="N41" s="46"/>
      <c r="O41" s="195"/>
      <c r="P41" s="195"/>
      <c r="Q41" s="195"/>
      <c r="R41" s="196"/>
    </row>
    <row r="42" spans="1:18" x14ac:dyDescent="0.2">
      <c r="E42" s="46"/>
      <c r="F42" s="46"/>
      <c r="G42" s="46"/>
      <c r="H42" s="46"/>
      <c r="J42" s="46"/>
      <c r="K42" s="51"/>
      <c r="L42" s="46"/>
      <c r="N42" s="46"/>
      <c r="O42" s="195"/>
      <c r="P42" s="195"/>
      <c r="Q42" s="195"/>
      <c r="R42" s="196"/>
    </row>
    <row r="43" spans="1:18" x14ac:dyDescent="0.2">
      <c r="E43" s="46"/>
      <c r="F43" s="46"/>
      <c r="G43" s="46"/>
      <c r="H43" s="46"/>
      <c r="J43" s="46"/>
      <c r="K43" s="51"/>
      <c r="L43" s="46"/>
      <c r="N43" s="46"/>
      <c r="O43" s="195"/>
      <c r="P43" s="195"/>
      <c r="Q43" s="195"/>
      <c r="R43" s="196"/>
    </row>
    <row r="44" spans="1:18" x14ac:dyDescent="0.2">
      <c r="E44" s="46"/>
      <c r="F44" s="46"/>
      <c r="G44" s="46"/>
      <c r="H44" s="46"/>
      <c r="J44" s="46"/>
      <c r="K44" s="51"/>
      <c r="L44" s="46"/>
      <c r="N44" s="46"/>
      <c r="O44" s="195"/>
      <c r="P44" s="195"/>
      <c r="Q44" s="195"/>
      <c r="R44" s="196"/>
    </row>
    <row r="45" spans="1:18" x14ac:dyDescent="0.2">
      <c r="E45" s="46"/>
      <c r="F45" s="46"/>
      <c r="G45" s="46"/>
      <c r="H45" s="46"/>
      <c r="J45" s="46"/>
      <c r="K45" s="51"/>
      <c r="L45" s="46"/>
      <c r="N45" s="46"/>
      <c r="O45" s="195"/>
      <c r="P45" s="195"/>
      <c r="Q45" s="195"/>
      <c r="R45" s="196"/>
    </row>
    <row r="46" spans="1:18" x14ac:dyDescent="0.2">
      <c r="E46" s="46"/>
      <c r="F46" s="46"/>
      <c r="G46" s="46"/>
      <c r="H46" s="46"/>
      <c r="J46" s="46"/>
      <c r="K46" s="51"/>
      <c r="L46" s="46"/>
      <c r="N46" s="46"/>
      <c r="O46" s="195"/>
      <c r="P46" s="195"/>
      <c r="Q46" s="195"/>
      <c r="R46" s="196"/>
    </row>
    <row r="47" spans="1:18" x14ac:dyDescent="0.2">
      <c r="E47" s="46"/>
      <c r="F47" s="46"/>
      <c r="G47" s="46"/>
      <c r="H47" s="46"/>
      <c r="J47" s="46"/>
      <c r="K47" s="51"/>
      <c r="L47" s="46"/>
      <c r="N47" s="46"/>
      <c r="O47" s="195"/>
      <c r="P47" s="195"/>
      <c r="Q47" s="195"/>
      <c r="R47" s="196"/>
    </row>
    <row r="48" spans="1:18" x14ac:dyDescent="0.2">
      <c r="E48" s="46"/>
      <c r="F48" s="46"/>
      <c r="G48" s="46"/>
      <c r="H48" s="46"/>
      <c r="J48" s="46"/>
      <c r="K48" s="51"/>
      <c r="L48" s="46"/>
      <c r="N48" s="46"/>
      <c r="O48" s="195"/>
      <c r="P48" s="195"/>
      <c r="Q48" s="195"/>
      <c r="R48" s="196"/>
    </row>
    <row r="49" spans="5:18" ht="25.5" customHeight="1" x14ac:dyDescent="0.2">
      <c r="E49" s="46"/>
      <c r="F49" s="46"/>
      <c r="G49" s="46"/>
      <c r="H49" s="46"/>
      <c r="J49" s="46"/>
      <c r="K49" s="51"/>
      <c r="L49" s="46"/>
      <c r="N49" s="46"/>
      <c r="O49" s="195"/>
      <c r="P49" s="195"/>
      <c r="Q49" s="195"/>
      <c r="R49" s="196"/>
    </row>
    <row r="50" spans="5:18" ht="27" customHeight="1" x14ac:dyDescent="0.2">
      <c r="E50" s="46"/>
      <c r="F50" s="46"/>
      <c r="G50" s="46"/>
      <c r="H50" s="46"/>
      <c r="J50" s="46"/>
      <c r="K50" s="51"/>
      <c r="L50" s="46"/>
      <c r="N50" s="46"/>
      <c r="O50" s="195"/>
      <c r="P50" s="195"/>
      <c r="Q50" s="195"/>
      <c r="R50" s="196"/>
    </row>
  </sheetData>
  <mergeCells count="95">
    <mergeCell ref="Q33:R33"/>
    <mergeCell ref="E34:G34"/>
    <mergeCell ref="H34:I34"/>
    <mergeCell ref="J34:K34"/>
    <mergeCell ref="L34:M34"/>
    <mergeCell ref="Q34:R34"/>
    <mergeCell ref="A30:A32"/>
    <mergeCell ref="B30:B32"/>
    <mergeCell ref="C30:C34"/>
    <mergeCell ref="D30:D32"/>
    <mergeCell ref="F32:L32"/>
    <mergeCell ref="A33:A34"/>
    <mergeCell ref="B33:B34"/>
    <mergeCell ref="D33:D34"/>
    <mergeCell ref="E33:F33"/>
    <mergeCell ref="G33:H33"/>
    <mergeCell ref="I33:K33"/>
    <mergeCell ref="L33:M33"/>
    <mergeCell ref="G20:J21"/>
    <mergeCell ref="A21:A22"/>
    <mergeCell ref="B21:B22"/>
    <mergeCell ref="G23:J24"/>
    <mergeCell ref="A24:A29"/>
    <mergeCell ref="B24:B29"/>
    <mergeCell ref="C24:C29"/>
    <mergeCell ref="D24:D29"/>
    <mergeCell ref="Q16:Q17"/>
    <mergeCell ref="R16:R17"/>
    <mergeCell ref="A17:A20"/>
    <mergeCell ref="B17:B20"/>
    <mergeCell ref="C17:C23"/>
    <mergeCell ref="D17:D23"/>
    <mergeCell ref="G17:J18"/>
    <mergeCell ref="O18:O19"/>
    <mergeCell ref="P18:P19"/>
    <mergeCell ref="Q18:Q19"/>
    <mergeCell ref="R18:R19"/>
    <mergeCell ref="A15:A16"/>
    <mergeCell ref="B15:C16"/>
    <mergeCell ref="D15:D16"/>
    <mergeCell ref="O16:O17"/>
    <mergeCell ref="P16:P17"/>
    <mergeCell ref="O12:O13"/>
    <mergeCell ref="P12:P13"/>
    <mergeCell ref="Q12:Q13"/>
    <mergeCell ref="R12:R13"/>
    <mergeCell ref="O14:O15"/>
    <mergeCell ref="P14:P15"/>
    <mergeCell ref="Q14:Q15"/>
    <mergeCell ref="R14:R15"/>
    <mergeCell ref="F10:H10"/>
    <mergeCell ref="A11:A14"/>
    <mergeCell ref="B11:B14"/>
    <mergeCell ref="C11:C14"/>
    <mergeCell ref="D11:D14"/>
    <mergeCell ref="E11:G11"/>
    <mergeCell ref="F12:H12"/>
    <mergeCell ref="A8:A10"/>
    <mergeCell ref="B8:C10"/>
    <mergeCell ref="D8:D10"/>
    <mergeCell ref="J5:J6"/>
    <mergeCell ref="K5:K6"/>
    <mergeCell ref="V8:V9"/>
    <mergeCell ref="W8:W9"/>
    <mergeCell ref="F9:H9"/>
    <mergeCell ref="F8:H8"/>
    <mergeCell ref="T8:T9"/>
    <mergeCell ref="U8:U9"/>
    <mergeCell ref="T5:T6"/>
    <mergeCell ref="U5:U6"/>
    <mergeCell ref="V5:V6"/>
    <mergeCell ref="O5:O6"/>
    <mergeCell ref="P5:P6"/>
    <mergeCell ref="Q5:Q6"/>
    <mergeCell ref="B1:C1"/>
    <mergeCell ref="E1:M1"/>
    <mergeCell ref="E2:M2"/>
    <mergeCell ref="F3:I3"/>
    <mergeCell ref="J3:K3"/>
    <mergeCell ref="X5:X6"/>
    <mergeCell ref="A6:A7"/>
    <mergeCell ref="B6:C7"/>
    <mergeCell ref="D6:D7"/>
    <mergeCell ref="F6:H6"/>
    <mergeCell ref="F7:H7"/>
    <mergeCell ref="A2:A5"/>
    <mergeCell ref="B2:C5"/>
    <mergeCell ref="D2:D5"/>
    <mergeCell ref="R5:R6"/>
    <mergeCell ref="M5:M6"/>
    <mergeCell ref="F5:H5"/>
    <mergeCell ref="W5:W6"/>
    <mergeCell ref="F4:I4"/>
    <mergeCell ref="J4:K4"/>
    <mergeCell ref="L5:L6"/>
  </mergeCells>
  <printOptions verticalCentered="1"/>
  <pageMargins left="0.19685039370078741" right="0.19685039370078741" top="0.39370078740157483" bottom="0.39370078740157483" header="0.51181102362204722" footer="0.51181102362204722"/>
  <pageSetup orientation="landscape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2</vt:i4>
      </vt:variant>
    </vt:vector>
  </HeadingPairs>
  <TitlesOfParts>
    <vt:vector size="15" baseType="lpstr">
      <vt:lpstr>sika Dybovský</vt:lpstr>
      <vt:lpstr>Jelen</vt:lpstr>
      <vt:lpstr>Sika</vt:lpstr>
      <vt:lpstr>Srnec</vt:lpstr>
      <vt:lpstr>Daňek</vt:lpstr>
      <vt:lpstr>Muflon</vt:lpstr>
      <vt:lpstr>Prase</vt:lpstr>
      <vt:lpstr>liška</vt:lpstr>
      <vt:lpstr>psík</vt:lpstr>
      <vt:lpstr>jezevec</vt:lpstr>
      <vt:lpstr>mýval severní</vt:lpstr>
      <vt:lpstr>Kamzice</vt:lpstr>
      <vt:lpstr>Kamzík</vt:lpstr>
      <vt:lpstr>Jelen!Oblast_tisku</vt:lpstr>
      <vt:lpstr>Muflon!Oblast_tisku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Diviš Vladimír</dc:creator>
  <cp:lastModifiedBy>Marek Kraus</cp:lastModifiedBy>
  <cp:lastPrinted>2017-05-18T07:09:41Z</cp:lastPrinted>
  <dcterms:created xsi:type="dcterms:W3CDTF">2005-02-22T20:45:49Z</dcterms:created>
  <dcterms:modified xsi:type="dcterms:W3CDTF">2017-05-19T07:40:08Z</dcterms:modified>
</cp:coreProperties>
</file>